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YECCION PPTO 2017\"/>
    </mc:Choice>
  </mc:AlternateContent>
  <bookViews>
    <workbookView xWindow="0" yWindow="0" windowWidth="25200" windowHeight="11085" firstSheet="1" activeTab="1"/>
  </bookViews>
  <sheets>
    <sheet name="PRESUPUESTO 2016 FUNCIONAMIENTO" sheetId="1" r:id="rId1"/>
    <sheet name="FUNCIONAMIENTO" sheetId="2" r:id="rId2"/>
    <sheet name="INVERSION 31 " sheetId="3" r:id="rId3"/>
    <sheet name="INVERSION 55" sheetId="5" r:id="rId4"/>
    <sheet name="INVERSION 52" sheetId="4" r:id="rId5"/>
    <sheet name="INVERSION 11" sheetId="7" state="hidden" r:id="rId6"/>
    <sheet name="11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5" l="1"/>
  <c r="Q67" i="5"/>
  <c r="Q66" i="5"/>
  <c r="P67" i="5"/>
  <c r="P66" i="5"/>
  <c r="Q63" i="5"/>
  <c r="P63" i="5"/>
  <c r="P62" i="5"/>
  <c r="P61" i="5"/>
  <c r="P60" i="5"/>
  <c r="P59" i="5"/>
  <c r="P58" i="5"/>
  <c r="Q56" i="5"/>
  <c r="P56" i="5"/>
  <c r="Q54" i="5"/>
  <c r="P55" i="5"/>
  <c r="P54" i="5"/>
  <c r="P52" i="5"/>
  <c r="Q51" i="5"/>
  <c r="P51" i="5"/>
  <c r="P46" i="5"/>
  <c r="Q43" i="5"/>
  <c r="P43" i="5"/>
  <c r="P41" i="5"/>
  <c r="P39" i="5"/>
  <c r="P36" i="5"/>
  <c r="Q35" i="5"/>
  <c r="P35" i="5"/>
  <c r="P33" i="5"/>
  <c r="Q32" i="5"/>
  <c r="P32" i="5"/>
  <c r="Q29" i="5"/>
  <c r="P30" i="5"/>
  <c r="P29" i="5"/>
  <c r="P26" i="5"/>
  <c r="P24" i="5"/>
  <c r="Q21" i="5"/>
  <c r="P21" i="5"/>
  <c r="P15" i="5"/>
  <c r="Q13" i="5"/>
  <c r="P13" i="5"/>
  <c r="P7" i="5"/>
  <c r="Q7" i="5"/>
  <c r="S32" i="8" l="1"/>
  <c r="S31" i="8"/>
  <c r="S28" i="8"/>
  <c r="S26" i="8"/>
  <c r="R32" i="8"/>
  <c r="R31" i="8"/>
  <c r="R28" i="8"/>
  <c r="R26" i="8"/>
  <c r="R24" i="8"/>
  <c r="S24" i="8" s="1"/>
  <c r="R23" i="8"/>
  <c r="S23" i="8" s="1"/>
  <c r="R22" i="8"/>
  <c r="S22" i="8" s="1"/>
  <c r="R21" i="8"/>
  <c r="S21" i="8" s="1"/>
  <c r="R20" i="8"/>
  <c r="S20" i="8" s="1"/>
  <c r="R19" i="8"/>
  <c r="S19" i="8" s="1"/>
  <c r="R18" i="8"/>
  <c r="S18" i="8" s="1"/>
  <c r="R17" i="8"/>
  <c r="S17" i="8" s="1"/>
  <c r="R16" i="8"/>
  <c r="S16" i="8" s="1"/>
  <c r="S14" i="8" l="1"/>
  <c r="R14" i="8"/>
  <c r="S11" i="8"/>
  <c r="R11" i="8"/>
  <c r="S9" i="8"/>
  <c r="R9" i="8"/>
  <c r="M26" i="3"/>
  <c r="M62" i="3"/>
  <c r="M61" i="3"/>
  <c r="M56" i="3"/>
  <c r="M55" i="3"/>
  <c r="M50" i="3"/>
  <c r="M34" i="3"/>
  <c r="M20" i="4"/>
  <c r="M18" i="4"/>
  <c r="L20" i="4"/>
  <c r="L18" i="4"/>
  <c r="M12" i="4"/>
  <c r="L12" i="4"/>
  <c r="M10" i="4"/>
  <c r="L10" i="4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M2" i="2"/>
  <c r="L2" i="2"/>
  <c r="L34" i="3" l="1"/>
  <c r="L62" i="3"/>
  <c r="L61" i="3"/>
  <c r="L56" i="3"/>
  <c r="L55" i="3"/>
  <c r="L53" i="3"/>
  <c r="L52" i="3"/>
  <c r="L50" i="3"/>
  <c r="L45" i="3"/>
  <c r="L44" i="3"/>
  <c r="L33" i="3"/>
  <c r="L29" i="3"/>
  <c r="L23" i="3"/>
  <c r="L28" i="3"/>
  <c r="L25" i="3"/>
  <c r="L21" i="3"/>
  <c r="L20" i="3"/>
  <c r="L11" i="3"/>
  <c r="L9" i="3"/>
  <c r="L71" i="5" l="1"/>
  <c r="L29" i="5"/>
  <c r="I74" i="5"/>
  <c r="I82" i="5"/>
  <c r="M29" i="5" s="1"/>
  <c r="P14" i="8" l="1"/>
  <c r="P17" i="8"/>
  <c r="P16" i="8"/>
  <c r="P32" i="8"/>
  <c r="H38" i="8"/>
  <c r="I31" i="8"/>
  <c r="K31" i="8"/>
  <c r="G31" i="8"/>
  <c r="P28" i="8"/>
  <c r="P26" i="8"/>
  <c r="P18" i="8"/>
  <c r="P9" i="8"/>
  <c r="K9" i="7"/>
  <c r="K11" i="8"/>
  <c r="P36" i="8"/>
  <c r="F36" i="8"/>
  <c r="P35" i="8"/>
  <c r="F35" i="8"/>
  <c r="P34" i="8"/>
  <c r="F34" i="8"/>
  <c r="P33" i="8"/>
  <c r="F33" i="8"/>
  <c r="F32" i="8"/>
  <c r="F31" i="8"/>
  <c r="P30" i="8"/>
  <c r="E30" i="8"/>
  <c r="D30" i="8"/>
  <c r="F30" i="8" s="1"/>
  <c r="P29" i="8"/>
  <c r="E29" i="8"/>
  <c r="D29" i="8"/>
  <c r="F29" i="8" s="1"/>
  <c r="F28" i="8"/>
  <c r="P27" i="8"/>
  <c r="F27" i="8"/>
  <c r="E27" i="8"/>
  <c r="D27" i="8"/>
  <c r="F26" i="8"/>
  <c r="P25" i="8"/>
  <c r="E25" i="8"/>
  <c r="E13" i="8" s="1"/>
  <c r="D25" i="8"/>
  <c r="F25" i="8" s="1"/>
  <c r="P24" i="8"/>
  <c r="F24" i="8"/>
  <c r="P23" i="8"/>
  <c r="F23" i="8"/>
  <c r="P22" i="8"/>
  <c r="F22" i="8"/>
  <c r="J21" i="8"/>
  <c r="P21" i="8" s="1"/>
  <c r="I21" i="8"/>
  <c r="F21" i="8"/>
  <c r="P20" i="8"/>
  <c r="F20" i="8"/>
  <c r="P19" i="8"/>
  <c r="I19" i="8"/>
  <c r="F19" i="8"/>
  <c r="I18" i="8"/>
  <c r="F18" i="8"/>
  <c r="F17" i="8"/>
  <c r="J16" i="8"/>
  <c r="F16" i="8"/>
  <c r="P15" i="8"/>
  <c r="E15" i="8"/>
  <c r="D15" i="8"/>
  <c r="F15" i="8" s="1"/>
  <c r="E14" i="8"/>
  <c r="D14" i="8"/>
  <c r="F14" i="8" s="1"/>
  <c r="P13" i="8"/>
  <c r="P12" i="8"/>
  <c r="F12" i="8"/>
  <c r="J11" i="8"/>
  <c r="I11" i="8"/>
  <c r="E11" i="8"/>
  <c r="F11" i="8" s="1"/>
  <c r="D10" i="8"/>
  <c r="F9" i="8"/>
  <c r="E8" i="8"/>
  <c r="D8" i="8"/>
  <c r="F8" i="8" s="1"/>
  <c r="E7" i="8"/>
  <c r="D7" i="8"/>
  <c r="F7" i="8" s="1"/>
  <c r="D6" i="8"/>
  <c r="I16" i="4"/>
  <c r="J16" i="4"/>
  <c r="P31" i="8" l="1"/>
  <c r="P11" i="8"/>
  <c r="D13" i="8"/>
  <c r="E10" i="8"/>
  <c r="E6" i="8" l="1"/>
  <c r="F6" i="8" s="1"/>
  <c r="F10" i="8"/>
  <c r="F13" i="8"/>
  <c r="D5" i="8"/>
  <c r="E5" i="8"/>
  <c r="F5" i="8" l="1"/>
  <c r="G31" i="7" l="1"/>
  <c r="G11" i="7"/>
  <c r="K23" i="7"/>
  <c r="I11" i="7" l="1"/>
  <c r="G27" i="2" l="1"/>
  <c r="J27" i="2"/>
  <c r="D14" i="3" l="1"/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N30" i="5" l="1"/>
  <c r="L82" i="5" l="1"/>
  <c r="M32" i="5" s="1"/>
  <c r="K15" i="7"/>
  <c r="J15" i="7"/>
  <c r="I15" i="7"/>
  <c r="I22" i="7"/>
  <c r="I21" i="7"/>
  <c r="I19" i="7"/>
  <c r="I18" i="7"/>
  <c r="I16" i="7"/>
  <c r="K16" i="7" s="1"/>
  <c r="K21" i="7"/>
  <c r="K36" i="7"/>
  <c r="K35" i="7"/>
  <c r="K34" i="7"/>
  <c r="K33" i="7"/>
  <c r="K30" i="7"/>
  <c r="K29" i="7"/>
  <c r="K28" i="7"/>
  <c r="K27" i="7"/>
  <c r="K26" i="7"/>
  <c r="K25" i="7"/>
  <c r="K24" i="7"/>
  <c r="K22" i="7"/>
  <c r="K20" i="7"/>
  <c r="K19" i="7"/>
  <c r="K18" i="7"/>
  <c r="K17" i="7"/>
  <c r="K12" i="7"/>
  <c r="J34" i="3"/>
  <c r="H34" i="3"/>
  <c r="I29" i="2" l="1"/>
  <c r="H29" i="2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5" i="7"/>
  <c r="E5" i="7"/>
  <c r="E30" i="7"/>
  <c r="E29" i="7" s="1"/>
  <c r="E27" i="7"/>
  <c r="E25" i="7"/>
  <c r="E14" i="7"/>
  <c r="E10" i="7"/>
  <c r="E8" i="7"/>
  <c r="E7" i="7" s="1"/>
  <c r="D5" i="7"/>
  <c r="E13" i="7" l="1"/>
  <c r="E6" i="7"/>
  <c r="H31" i="7"/>
  <c r="E11" i="7"/>
  <c r="J62" i="3" l="1"/>
  <c r="J61" i="3"/>
  <c r="J58" i="3"/>
  <c r="J56" i="3"/>
  <c r="J55" i="3"/>
  <c r="J53" i="3"/>
  <c r="J52" i="3"/>
  <c r="J50" i="3"/>
  <c r="J49" i="3"/>
  <c r="J47" i="3"/>
  <c r="J45" i="3"/>
  <c r="J44" i="3"/>
  <c r="J42" i="3"/>
  <c r="J40" i="3"/>
  <c r="J38" i="3"/>
  <c r="J36" i="3"/>
  <c r="J31" i="3"/>
  <c r="J29" i="3"/>
  <c r="J28" i="3"/>
  <c r="J26" i="3"/>
  <c r="J25" i="3"/>
  <c r="J23" i="3"/>
  <c r="J21" i="3"/>
  <c r="J20" i="3"/>
  <c r="J18" i="3"/>
  <c r="J16" i="3"/>
  <c r="J11" i="3"/>
  <c r="J9" i="3"/>
  <c r="N7" i="5"/>
  <c r="N15" i="5"/>
  <c r="N71" i="5"/>
  <c r="N67" i="5"/>
  <c r="N66" i="5"/>
  <c r="N63" i="5"/>
  <c r="N62" i="5"/>
  <c r="N61" i="5"/>
  <c r="N60" i="5"/>
  <c r="N59" i="5"/>
  <c r="N58" i="5"/>
  <c r="N56" i="5"/>
  <c r="N55" i="5"/>
  <c r="N54" i="5"/>
  <c r="N52" i="5"/>
  <c r="N51" i="5"/>
  <c r="N48" i="5"/>
  <c r="N46" i="5"/>
  <c r="N44" i="5"/>
  <c r="N43" i="5"/>
  <c r="N41" i="5"/>
  <c r="N39" i="5"/>
  <c r="N36" i="5"/>
  <c r="N35" i="5"/>
  <c r="N33" i="5"/>
  <c r="N32" i="5"/>
  <c r="N21" i="5"/>
  <c r="N19" i="5"/>
  <c r="N17" i="5"/>
  <c r="N13" i="5"/>
  <c r="N24" i="5"/>
  <c r="N26" i="5"/>
  <c r="N29" i="5"/>
  <c r="J20" i="4"/>
  <c r="J18" i="4"/>
  <c r="J10" i="4"/>
  <c r="I33" i="2"/>
  <c r="J32" i="2"/>
  <c r="J31" i="2"/>
  <c r="J24" i="2"/>
  <c r="J30" i="2"/>
  <c r="J23" i="2"/>
  <c r="J29" i="2"/>
  <c r="J28" i="2"/>
  <c r="J22" i="2"/>
  <c r="J21" i="2"/>
  <c r="J25" i="2"/>
  <c r="J20" i="2"/>
  <c r="J19" i="2"/>
  <c r="J26" i="2"/>
  <c r="J18" i="2"/>
  <c r="J17" i="2"/>
  <c r="J16" i="2"/>
  <c r="J15" i="2"/>
  <c r="J14" i="2"/>
  <c r="J13" i="2"/>
  <c r="J12" i="2"/>
  <c r="J11" i="2"/>
  <c r="J10" i="2"/>
  <c r="J8" i="2"/>
  <c r="J7" i="2"/>
  <c r="J6" i="2"/>
  <c r="J5" i="2"/>
  <c r="J4" i="2"/>
  <c r="J3" i="2"/>
  <c r="J2" i="2"/>
  <c r="H9" i="2"/>
  <c r="J9" i="2" s="1"/>
  <c r="H16" i="4"/>
  <c r="D30" i="7"/>
  <c r="D29" i="7" s="1"/>
  <c r="D27" i="7"/>
  <c r="D25" i="7"/>
  <c r="D15" i="7"/>
  <c r="D14" i="7"/>
  <c r="D13" i="7"/>
  <c r="D10" i="7"/>
  <c r="D6" i="7" s="1"/>
  <c r="D8" i="7"/>
  <c r="D7" i="7"/>
  <c r="D19" i="4"/>
  <c r="D17" i="4"/>
  <c r="D16" i="4"/>
  <c r="F12" i="4"/>
  <c r="D10" i="4"/>
  <c r="D9" i="4"/>
  <c r="D8" i="4"/>
  <c r="F7" i="4"/>
  <c r="D7" i="4"/>
  <c r="D6" i="4"/>
  <c r="F6" i="4"/>
  <c r="G71" i="5"/>
  <c r="J71" i="5" s="1"/>
  <c r="J70" i="5"/>
  <c r="D70" i="5"/>
  <c r="D69" i="5" s="1"/>
  <c r="D68" i="5" s="1"/>
  <c r="J69" i="5"/>
  <c r="J68" i="5"/>
  <c r="G66" i="5"/>
  <c r="J66" i="5" s="1"/>
  <c r="J65" i="5"/>
  <c r="D65" i="5"/>
  <c r="D64" i="5" s="1"/>
  <c r="J64" i="5"/>
  <c r="J62" i="5"/>
  <c r="J60" i="5"/>
  <c r="J58" i="5"/>
  <c r="J57" i="5"/>
  <c r="J56" i="5"/>
  <c r="J55" i="5"/>
  <c r="J54" i="5"/>
  <c r="J53" i="5"/>
  <c r="D53" i="5"/>
  <c r="G51" i="5"/>
  <c r="G37" i="5" s="1"/>
  <c r="J51" i="5"/>
  <c r="J37" i="5" s="1"/>
  <c r="J50" i="5"/>
  <c r="D50" i="5"/>
  <c r="J49" i="5"/>
  <c r="D49" i="5"/>
  <c r="G48" i="5"/>
  <c r="J48" i="5"/>
  <c r="J47" i="5"/>
  <c r="D47" i="5"/>
  <c r="G46" i="5"/>
  <c r="J46" i="5"/>
  <c r="J45" i="5"/>
  <c r="D45" i="5"/>
  <c r="G43" i="5"/>
  <c r="J43" i="5"/>
  <c r="J42" i="5"/>
  <c r="D42" i="5"/>
  <c r="G41" i="5"/>
  <c r="J41" i="5"/>
  <c r="J40" i="5"/>
  <c r="D40" i="5"/>
  <c r="G39" i="5"/>
  <c r="J39" i="5"/>
  <c r="J38" i="5"/>
  <c r="D38" i="5"/>
  <c r="D37" i="5" s="1"/>
  <c r="G35" i="5"/>
  <c r="J35" i="5" s="1"/>
  <c r="J34" i="5"/>
  <c r="D34" i="5"/>
  <c r="G32" i="5"/>
  <c r="J32" i="5" s="1"/>
  <c r="J31" i="5"/>
  <c r="D31" i="5"/>
  <c r="D27" i="5" s="1"/>
  <c r="G29" i="5"/>
  <c r="J29" i="5" s="1"/>
  <c r="J27" i="5" s="1"/>
  <c r="J28" i="5"/>
  <c r="D28" i="5"/>
  <c r="I27" i="5"/>
  <c r="G26" i="5"/>
  <c r="J26" i="5" s="1"/>
  <c r="J25" i="5"/>
  <c r="G24" i="5"/>
  <c r="J24" i="5"/>
  <c r="J23" i="5"/>
  <c r="D23" i="5"/>
  <c r="J22" i="5"/>
  <c r="D22" i="5"/>
  <c r="D20" i="5"/>
  <c r="G21" i="5"/>
  <c r="J21" i="5"/>
  <c r="G19" i="5"/>
  <c r="J19" i="5" s="1"/>
  <c r="J18" i="5"/>
  <c r="D18" i="5"/>
  <c r="G17" i="5"/>
  <c r="J17" i="5" s="1"/>
  <c r="J16" i="5"/>
  <c r="D16" i="5"/>
  <c r="G15" i="5"/>
  <c r="J15" i="5" s="1"/>
  <c r="J14" i="5"/>
  <c r="D14" i="5"/>
  <c r="G13" i="5"/>
  <c r="J13" i="5" s="1"/>
  <c r="J12" i="5"/>
  <c r="D12" i="5"/>
  <c r="D11" i="5" s="1"/>
  <c r="D4" i="5" s="1"/>
  <c r="G11" i="5"/>
  <c r="J11" i="5" s="1"/>
  <c r="J10" i="5"/>
  <c r="J9" i="5"/>
  <c r="J7" i="5"/>
  <c r="D6" i="5"/>
  <c r="D5" i="5"/>
  <c r="I4" i="5"/>
  <c r="D8" i="3"/>
  <c r="F62" i="3"/>
  <c r="D60" i="3"/>
  <c r="D59" i="3"/>
  <c r="F56" i="3"/>
  <c r="D54" i="3"/>
  <c r="F53" i="3"/>
  <c r="D51" i="3"/>
  <c r="F50" i="3"/>
  <c r="D48" i="3"/>
  <c r="D46" i="3"/>
  <c r="F45" i="3"/>
  <c r="D43" i="3"/>
  <c r="D41" i="3"/>
  <c r="D39" i="3"/>
  <c r="D37" i="3"/>
  <c r="D35" i="3"/>
  <c r="F34" i="3"/>
  <c r="D32" i="3"/>
  <c r="D30" i="3"/>
  <c r="F29" i="3"/>
  <c r="D27" i="3"/>
  <c r="F26" i="3"/>
  <c r="D24" i="3"/>
  <c r="F23" i="3"/>
  <c r="D22" i="3"/>
  <c r="F21" i="3"/>
  <c r="D19" i="3"/>
  <c r="D17" i="3"/>
  <c r="D15" i="3"/>
  <c r="D12" i="3"/>
  <c r="D10" i="3"/>
  <c r="D7" i="3"/>
  <c r="D6" i="3"/>
  <c r="D5" i="3"/>
  <c r="E5" i="3"/>
  <c r="F5" i="3"/>
  <c r="F2" i="2"/>
  <c r="G2" i="2" s="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G9" i="2"/>
  <c r="G10" i="2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G18" i="2"/>
  <c r="G26" i="2"/>
  <c r="G19" i="2"/>
  <c r="F20" i="2"/>
  <c r="G20" i="2" s="1"/>
  <c r="G25" i="2"/>
  <c r="G21" i="2"/>
  <c r="G22" i="2"/>
  <c r="G28" i="2"/>
  <c r="G29" i="2"/>
  <c r="G23" i="2"/>
  <c r="G30" i="2"/>
  <c r="G24" i="2"/>
  <c r="G31" i="2"/>
  <c r="G32" i="2"/>
  <c r="C33" i="2"/>
  <c r="F12" i="1"/>
  <c r="G12" i="1"/>
  <c r="F13" i="1"/>
  <c r="G13" i="1"/>
  <c r="F14" i="1"/>
  <c r="G14" i="1"/>
  <c r="F15" i="1"/>
  <c r="G15" i="1"/>
  <c r="F16" i="1"/>
  <c r="G16" i="1"/>
  <c r="F17" i="1"/>
  <c r="G17" i="1"/>
  <c r="G18" i="1"/>
  <c r="G19" i="1"/>
  <c r="G20" i="1"/>
  <c r="F21" i="1"/>
  <c r="G21" i="1"/>
  <c r="G22" i="1"/>
  <c r="G23" i="1"/>
  <c r="G24" i="1"/>
  <c r="G25" i="1"/>
  <c r="G26" i="1"/>
  <c r="G27" i="1"/>
  <c r="G28" i="1"/>
  <c r="G29" i="1"/>
  <c r="G30" i="1"/>
  <c r="G31" i="1"/>
  <c r="G32" i="1"/>
  <c r="C33" i="1"/>
  <c r="F11" i="1"/>
  <c r="G11" i="1"/>
  <c r="G10" i="1"/>
  <c r="G9" i="1"/>
  <c r="F8" i="1"/>
  <c r="G8" i="1"/>
  <c r="F7" i="1"/>
  <c r="G7" i="1"/>
  <c r="F6" i="1"/>
  <c r="G6" i="1"/>
  <c r="F5" i="1"/>
  <c r="G5" i="1"/>
  <c r="F4" i="1"/>
  <c r="G4" i="1"/>
  <c r="F3" i="1"/>
  <c r="G3" i="1"/>
  <c r="F2" i="1"/>
  <c r="G2" i="1"/>
  <c r="G33" i="1"/>
  <c r="J4" i="5" l="1"/>
  <c r="G27" i="5"/>
  <c r="G4" i="5" s="1"/>
  <c r="H33" i="2"/>
  <c r="G33" i="2"/>
  <c r="J33" i="2"/>
</calcChain>
</file>

<file path=xl/comments1.xml><?xml version="1.0" encoding="utf-8"?>
<comments xmlns="http://schemas.openxmlformats.org/spreadsheetml/2006/main">
  <authors>
    <author>AuxPresupuesto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AuxPresupuesto:</t>
        </r>
        <r>
          <rPr>
            <sz val="9"/>
            <color indexed="81"/>
            <rFont val="Tahoma"/>
            <family val="2"/>
          </rPr>
          <t xml:space="preserve">
CONTRATO DE MAURICIO RAMIREZ</t>
        </r>
      </text>
    </comment>
  </commentList>
</comments>
</file>

<file path=xl/comments2.xml><?xml version="1.0" encoding="utf-8"?>
<comments xmlns="http://schemas.openxmlformats.org/spreadsheetml/2006/main">
  <authors>
    <author>AuxPresupuesto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AuxPresupuesto:</t>
        </r>
        <r>
          <rPr>
            <sz val="9"/>
            <color indexed="81"/>
            <rFont val="Tahoma"/>
            <family val="2"/>
          </rPr>
          <t xml:space="preserve">
$142.602.447 CON LA 2015-768920011 Y
$857.397.553 CON LA 2015-768920061
SE VIABILIZO $336.363.512 CON LA 2015-768920109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AuxPresupuesto:</t>
        </r>
        <r>
          <rPr>
            <sz val="9"/>
            <color indexed="81"/>
            <rFont val="Tahoma"/>
            <family val="2"/>
          </rPr>
          <t xml:space="preserve">
VIABILIDAD NO. 2015-768920061
SE VIABILIZO $57.219.703
 CON LA 2015-768920109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AuxPresupuesto:</t>
        </r>
        <r>
          <rPr>
            <sz val="9"/>
            <color indexed="81"/>
            <rFont val="Tahoma"/>
            <family val="2"/>
          </rPr>
          <t xml:space="preserve">
SE VIABILIZO $150.267.694 CON LA 2015-768920109
</t>
        </r>
      </text>
    </comment>
  </commentList>
</comments>
</file>

<file path=xl/comments3.xml><?xml version="1.0" encoding="utf-8"?>
<comments xmlns="http://schemas.openxmlformats.org/spreadsheetml/2006/main">
  <authors>
    <author/>
    <author>AuxPresupuesto</author>
  </authors>
  <commentList>
    <comment ref="G11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AuxPresupuesto:
</t>
        </r>
        <r>
          <rPr>
            <sz val="9"/>
            <color rgb="FF000000"/>
            <rFont val="Tahoma"/>
            <family val="2"/>
            <charset val="1"/>
          </rPr>
          <t>$142.602.447 CON LA 2015-768920011 Y
$857.397.553 CON LA 2015-768920061
$336.363.512 CON LA 2015-768920109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AuxPresupuesto:</t>
        </r>
        <r>
          <rPr>
            <sz val="9"/>
            <color indexed="81"/>
            <rFont val="Tahoma"/>
            <family val="2"/>
          </rPr>
          <t xml:space="preserve">
VIABILIDAD NO. 2015-768920061 $41.780.297 Y $57.219.703 CON LA VIABILIDAD No. 2015-768920109
</t>
        </r>
      </text>
    </comment>
    <comment ref="G32" authorId="1" shapeId="0">
      <text>
        <r>
          <rPr>
            <b/>
            <sz val="9"/>
            <color indexed="81"/>
            <rFont val="Tahoma"/>
            <family val="2"/>
          </rPr>
          <t>AuxPresupuesto:</t>
        </r>
        <r>
          <rPr>
            <sz val="9"/>
            <color indexed="81"/>
            <rFont val="Tahoma"/>
            <family val="2"/>
          </rPr>
          <t xml:space="preserve">
VIABILIZADO CON LA 2015-768920109
</t>
        </r>
      </text>
    </comment>
  </commentList>
</comments>
</file>

<file path=xl/sharedStrings.xml><?xml version="1.0" encoding="utf-8"?>
<sst xmlns="http://schemas.openxmlformats.org/spreadsheetml/2006/main" count="564" uniqueCount="335">
  <si>
    <t>DESCRIPCION</t>
  </si>
  <si>
    <t>Sueldos</t>
  </si>
  <si>
    <t>VALOR 2015</t>
  </si>
  <si>
    <t>VALOR 2016</t>
  </si>
  <si>
    <t>INCREMENTO</t>
  </si>
  <si>
    <t>Prima recreación</t>
  </si>
  <si>
    <t>Prima navidad</t>
  </si>
  <si>
    <t>Prima Servicios</t>
  </si>
  <si>
    <t>Prima Vacaciones</t>
  </si>
  <si>
    <t>Vacaciones</t>
  </si>
  <si>
    <t>Intereses cesantias</t>
  </si>
  <si>
    <t>Honorarios Profesional</t>
  </si>
  <si>
    <t>SENA</t>
  </si>
  <si>
    <t>ICBF</t>
  </si>
  <si>
    <t>Fondo Censantias</t>
  </si>
  <si>
    <t>Fondo Pensiones</t>
  </si>
  <si>
    <t>Empresas Salud</t>
  </si>
  <si>
    <t>Riesgos Profesionales</t>
  </si>
  <si>
    <t>Caja Compensación</t>
  </si>
  <si>
    <t>Caja Menor</t>
  </si>
  <si>
    <t>Otros Materiales Suministros</t>
  </si>
  <si>
    <t>Reposición de Equipos</t>
  </si>
  <si>
    <t>Adquisición Y Actualización de Sofware</t>
  </si>
  <si>
    <t>Otros Gastos Generales</t>
  </si>
  <si>
    <t>Capacitación Y Bienestar Social</t>
  </si>
  <si>
    <t>Viaticos Y gastos de Viaje</t>
  </si>
  <si>
    <t>Seguros</t>
  </si>
  <si>
    <t>Mantenimiento</t>
  </si>
  <si>
    <t>Gastos Bancarios</t>
  </si>
  <si>
    <t>Cuota Fiscalización</t>
  </si>
  <si>
    <t>Impresos Y Publicaciones</t>
  </si>
  <si>
    <t>Suscipciones</t>
  </si>
  <si>
    <t>Gastos Legales</t>
  </si>
  <si>
    <t>Sentencias Y Conciliaciones</t>
  </si>
  <si>
    <t>TRASLADOS</t>
  </si>
  <si>
    <t>VALOR EJECUTADO</t>
  </si>
  <si>
    <t>TOTAL</t>
  </si>
  <si>
    <t xml:space="preserve">       </t>
  </si>
  <si>
    <t>PRESUPUESTO DE INVERSION 2016</t>
  </si>
  <si>
    <t>MEJORAMIENTO DE LOS PROCESOS RECREATIVOS Y APROVECHAMIENTO DEL TIEMPO LIBRE EN YUMBO</t>
  </si>
  <si>
    <t>2015-768920031</t>
  </si>
  <si>
    <t>2015-768920031-1</t>
  </si>
  <si>
    <t>P</t>
  </si>
  <si>
    <t>2.3.01.01.01.51.01.03</t>
  </si>
  <si>
    <t>Recreacion y aprovechamiento del tiempo libre</t>
  </si>
  <si>
    <t>2.3.01.01.01.51.01.03.01</t>
  </si>
  <si>
    <t>RP Mejoramiento de los procesos recreativos y aprovechamient</t>
  </si>
  <si>
    <t>2.3.01.01.01.51.01.03.01.01</t>
  </si>
  <si>
    <t>RP Apoyo logistico Actividades Recreativas</t>
  </si>
  <si>
    <t>2.3.01.01.01.51.01.03.01.02</t>
  </si>
  <si>
    <t>RP Cicloruta</t>
  </si>
  <si>
    <t>2.3.01.01.01.51.01.03.01.03</t>
  </si>
  <si>
    <t>RP Mejoram proces recreat y aprovech tiempo libre</t>
  </si>
  <si>
    <t>RP SDO 2015.  Mejoram proces recreat y aprovech tiempo libre</t>
  </si>
  <si>
    <t>2.3.01.01.01.51.01.03.02</t>
  </si>
  <si>
    <t>TP Mejoramiento de los proces recreativ y aprovech del t lib</t>
  </si>
  <si>
    <t>2.3.01.01.01.51.01.03.02.02</t>
  </si>
  <si>
    <t>TP Ciclo paseos dominicales</t>
  </si>
  <si>
    <t>2.3.01.01.01.51.01.03.02.03</t>
  </si>
  <si>
    <t>TP Ciclo paseos nocturnos</t>
  </si>
  <si>
    <t>2.3.01.01.01.51.01.03.02.04</t>
  </si>
  <si>
    <t>TP Vacaciones recreativas</t>
  </si>
  <si>
    <t>2.3.01.01.01.51.01.03.02.21</t>
  </si>
  <si>
    <t>TP SDO 2015 VACACIONES RECREATIVAS</t>
  </si>
  <si>
    <t>2.3.01.01.01.51.01.03.02.05</t>
  </si>
  <si>
    <t>TP Mes del niño y la recreacion</t>
  </si>
  <si>
    <t>2.3.01.01.01.51.01.03.02.06</t>
  </si>
  <si>
    <t>TP Labor social estudiantil</t>
  </si>
  <si>
    <t>2.01.01.01.51.01.03.02.22</t>
  </si>
  <si>
    <t>TP SDO 2015 LABOR SOCIAL ESTUDIANTIL</t>
  </si>
  <si>
    <t>2.3.01.01.01.51.01.03.02.07</t>
  </si>
  <si>
    <t>TP Festival munpal del viento y cometas</t>
  </si>
  <si>
    <t>2.3.01.01.01.51.01.03.02.23</t>
  </si>
  <si>
    <t>TP SDO 2015 FESTIVAL MUNICIPAL DEL VIENTO Y COMETAS</t>
  </si>
  <si>
    <t>2.3.01.01.01.51.01.03.02.08</t>
  </si>
  <si>
    <t>TP Campamentos juveniles</t>
  </si>
  <si>
    <t>2.3.01.01.01.51.01.03.02.09</t>
  </si>
  <si>
    <t>TP Recreacion y estilos de vida saludables</t>
  </si>
  <si>
    <t>2.3.01.01.01.51.01.03.02.19</t>
  </si>
  <si>
    <t>TP SDO 2015 MEJOR PROC REC Y APROV T L (EST VIDA SALUD)</t>
  </si>
  <si>
    <t>2.3.01.01.01.51.01.03.02.10</t>
  </si>
  <si>
    <t>TP Aprovecha del tiempo libre de la comunidad</t>
  </si>
  <si>
    <t>2.3.01.01.01.51.01.03.02.11</t>
  </si>
  <si>
    <t>TP Deporte extremo</t>
  </si>
  <si>
    <t>2.3.01.01.01.51.01.03.02.12</t>
  </si>
  <si>
    <t>TP Adulto mayor</t>
  </si>
  <si>
    <t>2.3.01.01.01.51.01.03.02.13</t>
  </si>
  <si>
    <t>TP Recreacion primera infancia</t>
  </si>
  <si>
    <t>2.3.01.01.01.51.01.03.02.14</t>
  </si>
  <si>
    <t>TP Juegos recreo - deportivos</t>
  </si>
  <si>
    <t>2.3.01.01.01.51.01.03.02.24</t>
  </si>
  <si>
    <t>TP SDO 2015 JUEGOS RECREO-DEPORTIVOS</t>
  </si>
  <si>
    <t>2.3.01.01.01.51.01.03.02.15</t>
  </si>
  <si>
    <t>TP Jornadas deportivas y recreativas</t>
  </si>
  <si>
    <t>2.3.01.01.01.51.01.03.02.16</t>
  </si>
  <si>
    <t>TP Descentralizados imderty</t>
  </si>
  <si>
    <t>mejoramiento de los procesos recreativos y</t>
  </si>
  <si>
    <t>2.3.01.01.01.51.01.03.02.17</t>
  </si>
  <si>
    <t>TP Dotacion Recreacion</t>
  </si>
  <si>
    <t>2.3.01.01.01.51.01.03.02.25</t>
  </si>
  <si>
    <t>TP SDO 2015 DOTACION RECREACION</t>
  </si>
  <si>
    <t>2.3.01.01.01.51.01.03.02.18</t>
  </si>
  <si>
    <t>TP Cicloruta</t>
  </si>
  <si>
    <t>2.3.01.01.01.51.01.03.02.26</t>
  </si>
  <si>
    <t>TP SDO 2015 CICLORUTA</t>
  </si>
  <si>
    <t>TP SDO/2015 Mej proces recreativ y aprovech del t lib</t>
  </si>
  <si>
    <t>2.3.01.01.01.51.01.03.02.20</t>
  </si>
  <si>
    <t>TP RF/2015 Mej proces recreativ y aprovech del t lib</t>
  </si>
  <si>
    <t>2.3.01.01.01.51.05.04</t>
  </si>
  <si>
    <t>RP Mejoramiento procesos Y Aprovecha. Tiempo Libre</t>
  </si>
  <si>
    <t>2.3.01.01.01.51.05.04.01</t>
  </si>
  <si>
    <t>RP equipo Gestor De los procesos Y Aprovecha. Tiempo Libre</t>
  </si>
  <si>
    <t>2.3.01.01.01.51.05.05</t>
  </si>
  <si>
    <t>TP SDO/2015 Mej procesos Y Aprovech Tiempo Libre</t>
  </si>
  <si>
    <t>FORTALECIMIENTO DE LOS PROCESOS FORMATIVOS Y COMPETITIVOS DE LAS DISCIPLINAS DEPORTIVAS EN YUMBO</t>
  </si>
  <si>
    <t>2015-768920055</t>
  </si>
  <si>
    <t>2015-768920055-1</t>
  </si>
  <si>
    <t>2.3.01.01.01.51.01</t>
  </si>
  <si>
    <t>FOMENTO DESARRO Y PRACT DEPORT Y RECREAC Y APROVECH DEL TIEM</t>
  </si>
  <si>
    <t>2.3.01.01.01.51.05.03</t>
  </si>
  <si>
    <t>RP Mejormto de los proces formativ y competi de la comunidad</t>
  </si>
  <si>
    <t>2.3.01.01.01.51.05.03.01</t>
  </si>
  <si>
    <t xml:space="preserve">RP Equipo gestor para el mejrmto de los procesos formativos </t>
  </si>
  <si>
    <t>2.3.01.01.01.51.01.01.03</t>
  </si>
  <si>
    <t>TP SDO/2015 Implement. Prog Deporte Escolar</t>
  </si>
  <si>
    <t>2.3.01.01.01.51.01.02</t>
  </si>
  <si>
    <t>Deporte formativo y competitivo</t>
  </si>
  <si>
    <t>2.3.01.01.01.51.01.02.01</t>
  </si>
  <si>
    <t>RP Mejoramiento de los procesos form y compet de la comunida</t>
  </si>
  <si>
    <t>2.3.01.01.01.51.01.02.01.01</t>
  </si>
  <si>
    <t>RP Eventos deportivos municipales</t>
  </si>
  <si>
    <t>2.3.01.01.01.51.01.02.01.01.01</t>
  </si>
  <si>
    <t>RP Juegos comunales</t>
  </si>
  <si>
    <t>-</t>
  </si>
  <si>
    <t>2.3.01.01.01.51.01.02.01.01.03</t>
  </si>
  <si>
    <t>RP Juegos de discapacidad</t>
  </si>
  <si>
    <t>2.3.01.01.01.51.01.02.01.01.04</t>
  </si>
  <si>
    <t>RP Juegos interveredales</t>
  </si>
  <si>
    <t>2.3.01.01.01.51.01.02.01.01.05</t>
  </si>
  <si>
    <t>RP Carrera atletica ciudad de yumbo</t>
  </si>
  <si>
    <t>+</t>
  </si>
  <si>
    <t>2.3.01.01.01.51.01.02.01.01.06</t>
  </si>
  <si>
    <t>2.3.01.01.01.51.01.02.03</t>
  </si>
  <si>
    <t>RP Mejormto de los proc formativ y competi Juegos Docentes</t>
  </si>
  <si>
    <t>2.3.01.01.01.51.01.02.03.01</t>
  </si>
  <si>
    <t>RP Juegos Docentes</t>
  </si>
  <si>
    <t>2.3.01.01.01.51.01.02.04</t>
  </si>
  <si>
    <t>TP SDO/2015 Mej proc formati y competi comuni dep</t>
  </si>
  <si>
    <t>2.3.01.01.01.51.01.02.01.01.08</t>
  </si>
  <si>
    <t>FESTIVALES DEPORTIVOS</t>
  </si>
  <si>
    <t>EVENTOS DEPORTIVOS DPTALES NALES E INTERNALES</t>
  </si>
  <si>
    <t>2.3.01.01.01.51.01.02.01.02</t>
  </si>
  <si>
    <t>RP Eventos deportivos departamentales</t>
  </si>
  <si>
    <t>2.3.01.01.01.51.01.02.01.08</t>
  </si>
  <si>
    <t>TP SDO 2015 EVENTOS DPTIVOS DEPARTAMENTALES</t>
  </si>
  <si>
    <t>2.3.01.01.01.51.01.02.01.03</t>
  </si>
  <si>
    <t>RP Eventos deportivos nacionales</t>
  </si>
  <si>
    <t>2.3.01.01.01.51.01.02.01.09</t>
  </si>
  <si>
    <t>TP SDO 2015 EVENTOS DPTIVOS NACIONALES</t>
  </si>
  <si>
    <t>2.3.01.01.01.51.01.02.01.04</t>
  </si>
  <si>
    <t>RP Eventos deportivos internacionales</t>
  </si>
  <si>
    <t>2.3.01.01.01.51.01.02.01.10</t>
  </si>
  <si>
    <t>TP SDO 2015 EVENTOS DPTIVOS INTERNACIONALES</t>
  </si>
  <si>
    <t>2.3.01.01.01.51.01.02.01.05</t>
  </si>
  <si>
    <t>RP Apoyo a deportistas</t>
  </si>
  <si>
    <t>2.3.01.01.01.51.01.02.01.05.01</t>
  </si>
  <si>
    <t>RP Suplemento vitaminicos</t>
  </si>
  <si>
    <t>2.3.01.01.01.51.01.02.01.05.02</t>
  </si>
  <si>
    <t>RP Hidratacion</t>
  </si>
  <si>
    <t>2.3.01.01.01.51.01.02.01.05.03</t>
  </si>
  <si>
    <t>RP Logistica actividades deportivas</t>
  </si>
  <si>
    <t>2.3.01.01.01.51.01.02.01.05.08</t>
  </si>
  <si>
    <t xml:space="preserve">TP SDO 2015 APOYO LOGISTICO </t>
  </si>
  <si>
    <t>2.3.01.01.01.51.01.02.01.05.04</t>
  </si>
  <si>
    <t>RP Botiquin</t>
  </si>
  <si>
    <t>2.3.01.01.01.51.01.02.01.06</t>
  </si>
  <si>
    <t>RP Merito deportivo</t>
  </si>
  <si>
    <t>2.3.01.01.01.51.01.02.01.01.07</t>
  </si>
  <si>
    <t>RP Otros prog de Inv en Dep Recreac y Ocup Tiemp Lib</t>
  </si>
  <si>
    <t>DEPORTES SOCIAL Y COMUNITARIO</t>
  </si>
  <si>
    <t>2.3.01.01.01.51.01.02.01.01.09</t>
  </si>
  <si>
    <t>TP SDO 2015 DEPORTE SOCIAL Y COMUNITARIO</t>
  </si>
  <si>
    <t>APOYO A DEPORTISTAS:</t>
  </si>
  <si>
    <t>2.3.01.01.01.51.01.02.01.05.05</t>
  </si>
  <si>
    <t>CENTRO DE ATENCION AL DEPORTISTA</t>
  </si>
  <si>
    <t>2.3.01.01.01.51.01.02.01.05.06</t>
  </si>
  <si>
    <t>DOTACION MEDICA</t>
  </si>
  <si>
    <t>2.3.01.01.01.51.01.02.01.05.07</t>
  </si>
  <si>
    <t>INCENTIVOS Y ESTIMULOS A DEPORTISTAS Y ENTRENADORES</t>
  </si>
  <si>
    <t>PENDIENTE</t>
  </si>
  <si>
    <t>2.3.01.01.01.51.01.02.08</t>
  </si>
  <si>
    <t>CAPACITACION Y FORMACION DEL PERSONAL TECNICO</t>
  </si>
  <si>
    <t>2.3.01.01.01.51.01.02.11</t>
  </si>
  <si>
    <t>TP SDO 2015 CAPACITACION Y FORMACION DEL PERSONAL TECNICO</t>
  </si>
  <si>
    <t>2.3.01.01.01.51.01.02.09</t>
  </si>
  <si>
    <t>CAMPAÑA PROMOCION Y DIFUSION DISCIPLINAS DEPORTIVAS</t>
  </si>
  <si>
    <t>2.3.01.01.01.51.01.02.12</t>
  </si>
  <si>
    <t>TP SDO 2015 PROMOCION Y DIFUSION DISCIPLINAS DEPORTIVAS</t>
  </si>
  <si>
    <t>2.3.01.01.01.51.01.02.10</t>
  </si>
  <si>
    <t>APOYO TECNICA ESPECIALIZADA</t>
  </si>
  <si>
    <t>2.3.01.01.01.51.01.02.13</t>
  </si>
  <si>
    <t>TP SDO 2015 APOYO TECNICA ESPECIALIZADA</t>
  </si>
  <si>
    <t>2.3.01.01.01.51.01.02.02</t>
  </si>
  <si>
    <t>TP. Mejoramiento procesos formati y competi de la comuni dep</t>
  </si>
  <si>
    <t>2.3.01.01.01.51.01.02.02.01</t>
  </si>
  <si>
    <t>TP Clubes y comites deportivos.</t>
  </si>
  <si>
    <t>2.3.01.01.01.51.01.02.02.02</t>
  </si>
  <si>
    <t>RP CLUBES Y COMITES DEPORTIVOS</t>
  </si>
  <si>
    <t>2.3.01.01.01.51.03</t>
  </si>
  <si>
    <t>DOTACION DE ESCENARIOS DEPTVOS E IMPLEMENTENT PARA LA PRACTI</t>
  </si>
  <si>
    <t>2.3.01.01.01.51.03.01</t>
  </si>
  <si>
    <t>RP Dotacion de escenrios deptivos e implement para la practi</t>
  </si>
  <si>
    <t>2.3.01.01.01.51.03.01.02</t>
  </si>
  <si>
    <t>RP Dotacion disciplinas deportivas</t>
  </si>
  <si>
    <t>FORTALECIMIENTO DEL PROGRAMA DE EDUCACION FISICA EN LOS NIVELES DE PREESCOLAR Y BASICA PRIMARIA EN LAS</t>
  </si>
  <si>
    <t>INSTITUCIONES EDUCATIVAS OFICIALES DEL MUNICIPIO DE YUMBO</t>
  </si>
  <si>
    <t>2015-768920052</t>
  </si>
  <si>
    <t>2.3.01.01.01.51.01.01</t>
  </si>
  <si>
    <t>EDUCACION FISICA Y DEPORTE ESCOLAR</t>
  </si>
  <si>
    <t>2.3.01.01.01.51.01.01.02</t>
  </si>
  <si>
    <t>RP Implementacion del programa de deporte escolar</t>
  </si>
  <si>
    <t>2.3.01.01.01.51.01.01.02.01</t>
  </si>
  <si>
    <t>RP Juegos superate interescolares intercolegiados</t>
  </si>
  <si>
    <t>DESARROLLO DE LOS JUEGOS SUPERATE INTERESCOLARES-INTERCOLEGIADOS</t>
  </si>
  <si>
    <t>2.3.01.01.01.51.01.01.02.02</t>
  </si>
  <si>
    <t>TP SDO 2015 DESARROLLO JUEGOS SUPERATE INTERESCOLARES INTERCOLEG</t>
  </si>
  <si>
    <t>DOTACION INSTITUCIONES EDUCATIVAS</t>
  </si>
  <si>
    <t>PROGRAMA DE EDUCACION FISICA Y DEPORTE ESCOLAR-EQUIPO GESTOR</t>
  </si>
  <si>
    <t>2.3.01.01.01.51.05</t>
  </si>
  <si>
    <t>PAGO INSTRUCT CONTRATAD PRA LA PRACT DEL DEPORT Y LA RECREAC</t>
  </si>
  <si>
    <t>2.3.01.01.01.51.05.01</t>
  </si>
  <si>
    <t>RP Equipo gestor educacion fisica</t>
  </si>
  <si>
    <t>2.3.01.01.01.51.05.02</t>
  </si>
  <si>
    <t>TP Equipo gestor educacion fisica</t>
  </si>
  <si>
    <t>MANTENIMIENTO Y MEJORAMIENTO DE ESCENARIOS DEPORTIVOS Y RECREATIVOS</t>
  </si>
  <si>
    <t>2015-768920011</t>
  </si>
  <si>
    <t>2.3.01.01.01.51.02</t>
  </si>
  <si>
    <t>CONSTRUCCION MANTENIMIENTO Y/O ADECUA DE ESCENARI DPTIVOS</t>
  </si>
  <si>
    <t>ADECUACION Y MANTENIMIENTO ESCENARIOS DEPORTIVOS</t>
  </si>
  <si>
    <t>2.3.01.01.01.51.02.01</t>
  </si>
  <si>
    <t>SGP Mantenimiento y mejoramiento escena deportivos</t>
  </si>
  <si>
    <t>2.3.01.01.01.51.02.01.01</t>
  </si>
  <si>
    <t>SGP Equipo gestor mantenimiento</t>
  </si>
  <si>
    <t>2.3.01.01.01.51.02.03</t>
  </si>
  <si>
    <t>RP Construcc. Mtto Y Mejor. Escenarios Dptivos Y Recreativos</t>
  </si>
  <si>
    <t>2.3.01.01.01.51.02.01.02</t>
  </si>
  <si>
    <t>SGP  Const Mant y Mejor Esc Deport y Recreativos</t>
  </si>
  <si>
    <t>2.3.01.01.01.51.02.02</t>
  </si>
  <si>
    <t>MATERIALES Y SUMINISTROS ESCENARIOS DEPORTIVOS</t>
  </si>
  <si>
    <t>2.3.01.01.01.51.02.02.01</t>
  </si>
  <si>
    <t>RP Construcc Mtto Y Mejoramiento Escen. Deportivos Y Recrea.</t>
  </si>
  <si>
    <t>Mantenimiento Piscina Semi Olimpica del Imderty</t>
  </si>
  <si>
    <t>Analisis fisicoquimicos del agua de piscina del Imderty</t>
  </si>
  <si>
    <t>operación de los escenarios deportivos</t>
  </si>
  <si>
    <t>2.3.01.01.01.51.02.02.02</t>
  </si>
  <si>
    <t>RP Pago Servicios Publicos</t>
  </si>
  <si>
    <t>2.3.01.01.01.51.02.02.03</t>
  </si>
  <si>
    <t>RP Monitoreo y Seguridad</t>
  </si>
  <si>
    <t>2.3.01.01.01.51.02.04</t>
  </si>
  <si>
    <t>ELECT Construcc Manteni Y Mejora Escenarios Deportivos</t>
  </si>
  <si>
    <t>2.3.01.01.01.51.02.04.01</t>
  </si>
  <si>
    <t xml:space="preserve">ELECT Construccion Mantenimiento Y Mejor Escena. Deportivos </t>
  </si>
  <si>
    <t>2.3.01.01.01.51.02.05</t>
  </si>
  <si>
    <t>RP SDO/2015 Const Mant Y Mejora Esc Deportivos</t>
  </si>
  <si>
    <t>DISPONIBLE A
 JULIO 31 DE 2016</t>
  </si>
  <si>
    <t>GASTOS DE AGOSTO DE 2016</t>
  </si>
  <si>
    <t>TOTAL DISPONIBLE A AGOSTO 31/16</t>
  </si>
  <si>
    <t>Rem Servicios tecnicos</t>
  </si>
  <si>
    <t>Otros Mat Y  Suministros</t>
  </si>
  <si>
    <t>Ad Y Actualización de Sofware</t>
  </si>
  <si>
    <t>DISPONIBLE A 
JULIO 31/16</t>
  </si>
  <si>
    <t>GASTOS DE 
AGOSTO</t>
  </si>
  <si>
    <t>DISPONIBLE A 
AGOSTO 31/16</t>
  </si>
  <si>
    <t>PESAS</t>
  </si>
  <si>
    <t>CICLISMO</t>
  </si>
  <si>
    <t xml:space="preserve">RP Construcci Matto y Mejora. Escena. Dptivos Y Recreativos 
</t>
  </si>
  <si>
    <t>Combustibles y lubricantes para guadañas para mtto esc deportivos
GASOLINA PARA GUADAÑAS $4000000</t>
  </si>
  <si>
    <t>INICIAL</t>
  </si>
  <si>
    <t>ADICIONES</t>
  </si>
  <si>
    <t>VIABILIZADO</t>
  </si>
  <si>
    <t>SIN VIABILID</t>
  </si>
  <si>
    <t>2.3.01.01.01.51.02.32</t>
  </si>
  <si>
    <t>2.3.01.01.01.51.02.33</t>
  </si>
  <si>
    <t>2.3.01.01.01.51.02.34</t>
  </si>
  <si>
    <t>2.3.01.01.01.51.02.35</t>
  </si>
  <si>
    <t>SGP SDO 2015 MANT Y MEJORAM ESCENARIOS DEPORTIVOS</t>
  </si>
  <si>
    <t>SGP RF 2015 MANT Y MEJORAM ESCENARIOS DEPORTIVOS</t>
  </si>
  <si>
    <t>SGP REINT SDO 2015 MANT Y MEJORAM ESCENARIOS DEPORTIVOS</t>
  </si>
  <si>
    <t>TP SDO 2015 MANT Y MEJORAM ESCENARIOS DEPORTIVOS</t>
  </si>
  <si>
    <t>RP Construcc Mtto Y Mejoramiento Escen. Deportivos Y Recrea.
ELIGIO $2.440.000+INGENIERO $35.355.000+MIREYA $12.000.000+CANCHA $19.215.163 (EN TOTAL SUMA $69.010.163)</t>
  </si>
  <si>
    <t>Implementos de ferreteria y aseo para los diferente escenarios dptivos
FERRETERIA $19.104.710 + OTRO SI $9.552.355 + ASEO $6.048.820 (EN TOTAL SUMA $34.705.885)</t>
  </si>
  <si>
    <t>Quimicos para la piscina
COMPRA DE QUIMICOS $14.181.000</t>
  </si>
  <si>
    <t>Mantenimiento de equipos y elementos deportivos
MOTOR MOTOBOMBA $5.150.000</t>
  </si>
  <si>
    <t>TEJO</t>
  </si>
  <si>
    <t>LUCHA</t>
  </si>
  <si>
    <t>EXTREMO</t>
  </si>
  <si>
    <t>TRIATHLON</t>
  </si>
  <si>
    <t>FUTBOL</t>
  </si>
  <si>
    <t>TAEKWONDO</t>
  </si>
  <si>
    <t>BOCCIA</t>
  </si>
  <si>
    <t>NATACION</t>
  </si>
  <si>
    <t>VOLIBOL</t>
  </si>
  <si>
    <t>PATINAJE</t>
  </si>
  <si>
    <t>INCREM 3%</t>
  </si>
  <si>
    <t>INCREM 5%</t>
  </si>
  <si>
    <t>Remunera Servicios tecnicos</t>
  </si>
  <si>
    <t>Suscripciones</t>
  </si>
  <si>
    <t>Mantenimiento electrico diferentes escenarios deportivos
DISPON $19.159.318 PARA MANT ELECTRICO</t>
  </si>
  <si>
    <t>RP Construcc. Mtto Y Mejor. Escenarios Dptivos Y Recreativos
CAPACITACION MANT PISCINA $584000 + CURSO ALTURAS $602000
DISPON $899.177.850 CONST PARQUE EL POLVERO</t>
  </si>
  <si>
    <t>GASTOS A JULIO 31 2016</t>
  </si>
  <si>
    <t>GASTOS DE SEPTIEMBRE</t>
  </si>
  <si>
    <t>GASTOS DE 
OCTUBRE</t>
  </si>
  <si>
    <t>GASTOS DE 
NOVIEMBRE</t>
  </si>
  <si>
    <t>GASTOS DE DICIEMBRE</t>
  </si>
  <si>
    <t>DISPONIBLE VIABILIZADO A 
LA FECHA</t>
  </si>
  <si>
    <t>RP Construcci Matto y Mejora. Escena. Dptivos Y Recreativos</t>
  </si>
  <si>
    <t>RP Construcc Mtto Y Mejoramiento Escen. Deportivos Y Recrea.
ELIGIO $2440000+INGENIERO $35355000+MIREYA $12000000+CANCHA $19215163 (EN TOTAL SUMA $69010163)</t>
  </si>
  <si>
    <t>Quimicos para la piscina
COMPRA DE QUIMICOS $14181000</t>
  </si>
  <si>
    <t>Implementos de ferreteria y aseo para los diferente escenarios dptivos
FERRETERIA $19104710 + OTRO SI $9552355 + ASEO $6048820 (EN TOTAL SUMA $34705885)</t>
  </si>
  <si>
    <t>Mantenimiento de equipos y elementos deportivos
MOTOR MOTOBOMBA $5150000</t>
  </si>
  <si>
    <t>ELECT Construccion Mantenimiento Y Mejor Escena. Deportivos</t>
  </si>
  <si>
    <t>RP Construcc. Mtto Y Mejor. Escenarios Dptivos Y Recreativos
CAPACITACION MANT PISCINA $584000 + CURSO ALTURAS $602000
DISPON $857.397.553 PARA PARQUE RECREATIVO (EL POLVERO) 
DISPON $336.363.512 PARA CANCHA SINTETICA EN PANORAMA</t>
  </si>
  <si>
    <t>Mantenimiento electrico diferentes escenarios deportivos
DISPON PARA MTTO ELECT ESC DEPT $19.159.318</t>
  </si>
  <si>
    <t>ELECT Construccion Mantenimiento Y Mejor Escena. Deportivos
DISPON $41.780.297 PARA EL POLVERO Y $57.219.703 PARA CANCHA SINTETICA PANORAMA</t>
  </si>
  <si>
    <t>PENDIENTE POR VIABILIZAR</t>
  </si>
  <si>
    <t>RP SDO/2015 Const Mant Y Mejora Esc Deportivos
DISPON $150.267.694 PARA CANCHA SINTETICA PANORAMA</t>
  </si>
  <si>
    <t>TIRO DEPORTIVO</t>
  </si>
  <si>
    <t>COPA OPORTUNIDADES</t>
  </si>
  <si>
    <t>GRUPO BRAINSTORMING</t>
  </si>
  <si>
    <t>OSCAR EDUARDO POSADA CERON</t>
  </si>
  <si>
    <t>EXHIBICION SELEC COLOMB ATLE</t>
  </si>
  <si>
    <t>EJECUTADO A LA FECHA</t>
  </si>
  <si>
    <t>% DE EJECUCION</t>
  </si>
  <si>
    <t>EJECUTADO 
A LA FECHA</t>
  </si>
  <si>
    <t>% DE 
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</si>
</sst>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[$$-409]#,##0;[Red]\-[$$-409]#,##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8FAADC"/>
        <bgColor rgb="FF9DC3E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Border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right"/>
    </xf>
    <xf numFmtId="16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3" fontId="5" fillId="0" borderId="1" xfId="0" applyNumberFormat="1" applyFont="1" applyBorder="1"/>
    <xf numFmtId="0" fontId="0" fillId="2" borderId="0" xfId="0" applyFill="1"/>
    <xf numFmtId="0" fontId="0" fillId="0" borderId="1" xfId="0" applyFill="1" applyBorder="1"/>
    <xf numFmtId="3" fontId="6" fillId="0" borderId="3" xfId="0" applyNumberFormat="1" applyFont="1" applyFill="1" applyBorder="1"/>
    <xf numFmtId="3" fontId="0" fillId="0" borderId="0" xfId="0" applyNumberFormat="1"/>
    <xf numFmtId="0" fontId="0" fillId="0" borderId="0" xfId="0" applyFill="1"/>
    <xf numFmtId="3" fontId="1" fillId="0" borderId="1" xfId="0" applyNumberFormat="1" applyFont="1" applyFill="1" applyBorder="1"/>
    <xf numFmtId="0" fontId="5" fillId="0" borderId="1" xfId="0" applyFont="1" applyFill="1" applyBorder="1"/>
    <xf numFmtId="3" fontId="0" fillId="0" borderId="1" xfId="0" applyNumberForma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3" fontId="5" fillId="0" borderId="1" xfId="0" applyNumberFormat="1" applyFont="1" applyFill="1" applyBorder="1"/>
    <xf numFmtId="0" fontId="7" fillId="0" borderId="1" xfId="0" applyFont="1" applyFill="1" applyBorder="1"/>
    <xf numFmtId="3" fontId="6" fillId="0" borderId="1" xfId="0" applyNumberFormat="1" applyFont="1" applyFill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3" fontId="8" fillId="0" borderId="1" xfId="0" applyNumberFormat="1" applyFont="1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0" fontId="5" fillId="0" borderId="1" xfId="0" applyFont="1" applyBorder="1"/>
    <xf numFmtId="0" fontId="0" fillId="0" borderId="0" xfId="0" applyAlignment="1">
      <alignment horizontal="right"/>
    </xf>
    <xf numFmtId="3" fontId="7" fillId="0" borderId="1" xfId="0" applyNumberFormat="1" applyFont="1" applyFill="1" applyBorder="1"/>
    <xf numFmtId="0" fontId="0" fillId="0" borderId="0" xfId="0" applyAlignment="1">
      <alignment horizontal="center"/>
    </xf>
    <xf numFmtId="3" fontId="9" fillId="0" borderId="1" xfId="0" applyNumberFormat="1" applyFont="1" applyFill="1" applyBorder="1"/>
    <xf numFmtId="3" fontId="6" fillId="4" borderId="1" xfId="0" applyNumberFormat="1" applyFont="1" applyFill="1" applyBorder="1"/>
    <xf numFmtId="3" fontId="0" fillId="4" borderId="1" xfId="0" applyNumberFormat="1" applyFill="1" applyBorder="1"/>
    <xf numFmtId="3" fontId="7" fillId="4" borderId="1" xfId="0" applyNumberFormat="1" applyFont="1" applyFill="1" applyBorder="1"/>
    <xf numFmtId="3" fontId="0" fillId="4" borderId="0" xfId="0" applyNumberFormat="1" applyFill="1"/>
    <xf numFmtId="0" fontId="10" fillId="0" borderId="1" xfId="0" applyFont="1" applyFill="1" applyBorder="1"/>
    <xf numFmtId="3" fontId="10" fillId="0" borderId="1" xfId="0" applyNumberFormat="1" applyFont="1" applyFill="1" applyBorder="1"/>
    <xf numFmtId="3" fontId="0" fillId="5" borderId="1" xfId="0" applyNumberFormat="1" applyFill="1" applyBorder="1"/>
    <xf numFmtId="0" fontId="4" fillId="2" borderId="0" xfId="0" applyFont="1" applyFill="1"/>
    <xf numFmtId="0" fontId="7" fillId="4" borderId="1" xfId="0" applyFont="1" applyFill="1" applyBorder="1"/>
    <xf numFmtId="3" fontId="4" fillId="4" borderId="1" xfId="0" applyNumberFormat="1" applyFont="1" applyFill="1" applyBorder="1"/>
    <xf numFmtId="3" fontId="0" fillId="0" borderId="0" xfId="0" applyNumberFormat="1" applyFill="1" applyBorder="1"/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/>
    <xf numFmtId="0" fontId="4" fillId="0" borderId="0" xfId="0" applyFont="1"/>
    <xf numFmtId="164" fontId="1" fillId="0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2" borderId="0" xfId="0" applyFont="1" applyFill="1"/>
    <xf numFmtId="0" fontId="13" fillId="0" borderId="1" xfId="0" applyFont="1" applyFill="1" applyBorder="1"/>
    <xf numFmtId="3" fontId="16" fillId="0" borderId="1" xfId="0" applyNumberFormat="1" applyFont="1" applyFill="1" applyBorder="1"/>
    <xf numFmtId="0" fontId="13" fillId="0" borderId="1" xfId="0" applyFont="1" applyBorder="1"/>
    <xf numFmtId="164" fontId="13" fillId="0" borderId="1" xfId="0" applyNumberFormat="1" applyFont="1" applyBorder="1"/>
    <xf numFmtId="0" fontId="13" fillId="0" borderId="0" xfId="0" applyFont="1" applyFill="1"/>
    <xf numFmtId="3" fontId="12" fillId="0" borderId="1" xfId="0" applyNumberFormat="1" applyFont="1" applyFill="1" applyBorder="1"/>
    <xf numFmtId="3" fontId="12" fillId="0" borderId="0" xfId="0" applyNumberFormat="1" applyFont="1" applyFill="1" applyBorder="1"/>
    <xf numFmtId="3" fontId="13" fillId="0" borderId="1" xfId="0" applyNumberFormat="1" applyFont="1" applyFill="1" applyBorder="1"/>
    <xf numFmtId="0" fontId="17" fillId="4" borderId="1" xfId="0" applyFont="1" applyFill="1" applyBorder="1"/>
    <xf numFmtId="3" fontId="17" fillId="4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3" fontId="13" fillId="0" borderId="0" xfId="0" applyNumberFormat="1" applyFont="1"/>
    <xf numFmtId="0" fontId="17" fillId="5" borderId="1" xfId="0" applyFont="1" applyFill="1" applyBorder="1"/>
    <xf numFmtId="3" fontId="17" fillId="5" borderId="1" xfId="0" applyNumberFormat="1" applyFont="1" applyFill="1" applyBorder="1"/>
    <xf numFmtId="3" fontId="17" fillId="5" borderId="0" xfId="0" applyNumberFormat="1" applyFont="1" applyFill="1"/>
    <xf numFmtId="0" fontId="17" fillId="0" borderId="1" xfId="0" applyFont="1" applyFill="1" applyBorder="1"/>
    <xf numFmtId="3" fontId="17" fillId="0" borderId="1" xfId="0" applyNumberFormat="1" applyFont="1" applyFill="1" applyBorder="1"/>
    <xf numFmtId="3" fontId="19" fillId="0" borderId="1" xfId="0" applyNumberFormat="1" applyFont="1" applyFill="1" applyBorder="1"/>
    <xf numFmtId="0" fontId="13" fillId="0" borderId="2" xfId="0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3" fontId="13" fillId="0" borderId="1" xfId="0" applyNumberFormat="1" applyFont="1" applyBorder="1"/>
    <xf numFmtId="3" fontId="21" fillId="0" borderId="1" xfId="0" applyNumberFormat="1" applyFont="1" applyFill="1" applyBorder="1"/>
    <xf numFmtId="0" fontId="22" fillId="0" borderId="0" xfId="0" applyFont="1"/>
    <xf numFmtId="0" fontId="13" fillId="7" borderId="0" xfId="0" applyFont="1" applyFill="1"/>
    <xf numFmtId="3" fontId="25" fillId="0" borderId="1" xfId="0" applyNumberFormat="1" applyFont="1" applyBorder="1"/>
    <xf numFmtId="3" fontId="26" fillId="0" borderId="1" xfId="0" applyNumberFormat="1" applyFont="1" applyBorder="1"/>
    <xf numFmtId="3" fontId="26" fillId="0" borderId="5" xfId="0" applyNumberFormat="1" applyFont="1" applyBorder="1"/>
    <xf numFmtId="0" fontId="13" fillId="0" borderId="5" xfId="0" applyFont="1" applyBorder="1"/>
    <xf numFmtId="165" fontId="13" fillId="0" borderId="5" xfId="0" applyNumberFormat="1" applyFont="1" applyBorder="1"/>
    <xf numFmtId="0" fontId="13" fillId="8" borderId="1" xfId="0" applyFont="1" applyFill="1" applyBorder="1"/>
    <xf numFmtId="3" fontId="27" fillId="0" borderId="1" xfId="0" applyNumberFormat="1" applyFont="1" applyBorder="1"/>
    <xf numFmtId="0" fontId="26" fillId="0" borderId="1" xfId="0" applyFont="1" applyBorder="1"/>
    <xf numFmtId="3" fontId="28" fillId="0" borderId="1" xfId="0" applyNumberFormat="1" applyFont="1" applyBorder="1"/>
    <xf numFmtId="3" fontId="29" fillId="0" borderId="5" xfId="0" applyNumberFormat="1" applyFont="1" applyBorder="1"/>
    <xf numFmtId="0" fontId="26" fillId="0" borderId="1" xfId="0" applyFont="1" applyBorder="1" applyAlignment="1">
      <alignment wrapText="1"/>
    </xf>
    <xf numFmtId="0" fontId="29" fillId="0" borderId="1" xfId="0" applyFont="1" applyBorder="1"/>
    <xf numFmtId="3" fontId="29" fillId="0" borderId="1" xfId="0" applyNumberFormat="1" applyFont="1" applyBorder="1"/>
    <xf numFmtId="0" fontId="13" fillId="0" borderId="1" xfId="0" applyFont="1" applyBorder="1" applyAlignment="1">
      <alignment wrapText="1"/>
    </xf>
    <xf numFmtId="0" fontId="13" fillId="0" borderId="0" xfId="0" applyFont="1" applyBorder="1"/>
    <xf numFmtId="3" fontId="26" fillId="0" borderId="0" xfId="0" applyNumberFormat="1" applyFont="1" applyBorder="1"/>
    <xf numFmtId="3" fontId="13" fillId="0" borderId="0" xfId="0" applyNumberFormat="1" applyFont="1" applyBorder="1"/>
    <xf numFmtId="3" fontId="28" fillId="0" borderId="0" xfId="0" applyNumberFormat="1" applyFont="1" applyBorder="1"/>
    <xf numFmtId="3" fontId="29" fillId="0" borderId="0" xfId="0" applyNumberFormat="1" applyFont="1" applyBorder="1"/>
    <xf numFmtId="165" fontId="20" fillId="0" borderId="5" xfId="0" applyNumberFormat="1" applyFont="1" applyBorder="1"/>
    <xf numFmtId="0" fontId="29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1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2" borderId="0" xfId="0" applyFont="1" applyFill="1"/>
    <xf numFmtId="0" fontId="30" fillId="0" borderId="1" xfId="0" applyFont="1" applyFill="1" applyBorder="1"/>
    <xf numFmtId="3" fontId="31" fillId="0" borderId="1" xfId="0" applyNumberFormat="1" applyFont="1" applyFill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0" fontId="30" fillId="0" borderId="0" xfId="0" applyFont="1" applyFill="1"/>
    <xf numFmtId="0" fontId="30" fillId="6" borderId="1" xfId="0" applyFont="1" applyFill="1" applyBorder="1"/>
    <xf numFmtId="3" fontId="11" fillId="0" borderId="1" xfId="0" applyNumberFormat="1" applyFont="1" applyFill="1" applyBorder="1"/>
    <xf numFmtId="3" fontId="30" fillId="0" borderId="1" xfId="0" applyNumberFormat="1" applyFont="1" applyFill="1" applyBorder="1"/>
    <xf numFmtId="0" fontId="32" fillId="0" borderId="1" xfId="0" applyFont="1" applyFill="1" applyBorder="1"/>
    <xf numFmtId="3" fontId="33" fillId="0" borderId="1" xfId="0" applyNumberFormat="1" applyFont="1" applyFill="1" applyBorder="1"/>
    <xf numFmtId="3" fontId="34" fillId="0" borderId="4" xfId="0" applyNumberFormat="1" applyFont="1" applyFill="1" applyBorder="1"/>
    <xf numFmtId="0" fontId="30" fillId="0" borderId="1" xfId="0" applyFont="1" applyBorder="1"/>
    <xf numFmtId="3" fontId="30" fillId="0" borderId="1" xfId="0" applyNumberFormat="1" applyFont="1" applyBorder="1"/>
    <xf numFmtId="0" fontId="32" fillId="0" borderId="1" xfId="0" applyFont="1" applyFill="1" applyBorder="1" applyAlignment="1">
      <alignment wrapText="1"/>
    </xf>
    <xf numFmtId="3" fontId="34" fillId="0" borderId="1" xfId="0" applyNumberFormat="1" applyFont="1" applyFill="1" applyBorder="1"/>
    <xf numFmtId="3" fontId="35" fillId="0" borderId="1" xfId="0" applyNumberFormat="1" applyFont="1" applyFill="1" applyBorder="1"/>
    <xf numFmtId="0" fontId="34" fillId="0" borderId="1" xfId="0" applyFont="1" applyFill="1" applyBorder="1"/>
    <xf numFmtId="0" fontId="30" fillId="0" borderId="1" xfId="0" applyFont="1" applyFill="1" applyBorder="1" applyAlignment="1">
      <alignment wrapText="1"/>
    </xf>
    <xf numFmtId="3" fontId="31" fillId="0" borderId="1" xfId="0" applyNumberFormat="1" applyFont="1" applyBorder="1"/>
    <xf numFmtId="3" fontId="34" fillId="0" borderId="0" xfId="0" applyNumberFormat="1" applyFont="1" applyFill="1" applyBorder="1"/>
    <xf numFmtId="0" fontId="30" fillId="0" borderId="0" xfId="0" applyFont="1" applyBorder="1"/>
    <xf numFmtId="3" fontId="30" fillId="0" borderId="0" xfId="0" applyNumberFormat="1" applyFont="1" applyBorder="1"/>
    <xf numFmtId="3" fontId="33" fillId="0" borderId="0" xfId="0" applyNumberFormat="1" applyFont="1" applyBorder="1"/>
    <xf numFmtId="3" fontId="30" fillId="0" borderId="0" xfId="0" applyNumberFormat="1" applyFont="1" applyFill="1" applyBorder="1"/>
    <xf numFmtId="3" fontId="33" fillId="0" borderId="0" xfId="0" applyNumberFormat="1" applyFont="1" applyFill="1" applyBorder="1"/>
    <xf numFmtId="0" fontId="30" fillId="0" borderId="0" xfId="0" applyFont="1" applyFill="1" applyBorder="1"/>
    <xf numFmtId="3" fontId="30" fillId="0" borderId="0" xfId="0" applyNumberFormat="1" applyFont="1"/>
    <xf numFmtId="9" fontId="0" fillId="0" borderId="1" xfId="0" applyNumberFormat="1" applyBorder="1"/>
    <xf numFmtId="0" fontId="3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9" fontId="1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/>
    <xf numFmtId="9" fontId="13" fillId="0" borderId="0" xfId="0" applyNumberFormat="1" applyFont="1"/>
    <xf numFmtId="9" fontId="13" fillId="0" borderId="1" xfId="0" applyNumberFormat="1" applyFont="1" applyBorder="1"/>
    <xf numFmtId="9" fontId="0" fillId="0" borderId="0" xfId="0" applyNumberFormat="1" applyBorder="1"/>
    <xf numFmtId="165" fontId="12" fillId="0" borderId="1" xfId="0" applyNumberFormat="1" applyFont="1" applyBorder="1"/>
    <xf numFmtId="9" fontId="12" fillId="0" borderId="1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 applyBorder="1"/>
    <xf numFmtId="3" fontId="2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J23" sqref="J23"/>
    </sheetView>
  </sheetViews>
  <sheetFormatPr baseColWidth="10" defaultRowHeight="15" x14ac:dyDescent="0.25"/>
  <cols>
    <col min="1" max="1" width="1.85546875" customWidth="1"/>
    <col min="2" max="2" width="28.42578125" bestFit="1" customWidth="1"/>
    <col min="3" max="3" width="17.85546875" hidden="1" customWidth="1"/>
    <col min="4" max="4" width="11.5703125" style="2" hidden="1" customWidth="1"/>
    <col min="5" max="5" width="13.42578125" style="2" hidden="1" customWidth="1"/>
    <col min="6" max="6" width="16.42578125" style="2" hidden="1" customWidth="1"/>
    <col min="7" max="7" width="16.140625" style="2" customWidth="1"/>
    <col min="8" max="8" width="15.7109375" customWidth="1"/>
    <col min="9" max="9" width="15.85546875" bestFit="1" customWidth="1"/>
  </cols>
  <sheetData>
    <row r="1" spans="2:9" x14ac:dyDescent="0.25">
      <c r="B1" s="1" t="s">
        <v>0</v>
      </c>
      <c r="C1" s="3" t="s">
        <v>2</v>
      </c>
      <c r="D1" s="3" t="s">
        <v>34</v>
      </c>
      <c r="E1" s="12" t="s">
        <v>35</v>
      </c>
      <c r="F1" s="4" t="s">
        <v>4</v>
      </c>
      <c r="G1" s="1" t="s">
        <v>3</v>
      </c>
      <c r="H1" s="58" t="s">
        <v>303</v>
      </c>
      <c r="I1" s="58" t="s">
        <v>304</v>
      </c>
    </row>
    <row r="2" spans="2:9" ht="17.25" customHeight="1" x14ac:dyDescent="0.25">
      <c r="B2" s="5" t="s">
        <v>1</v>
      </c>
      <c r="C2" s="6">
        <v>260521720</v>
      </c>
      <c r="D2" s="6"/>
      <c r="E2" s="6"/>
      <c r="F2" s="6">
        <f t="shared" ref="F2:F8" si="0">C2*7%</f>
        <v>18236520.400000002</v>
      </c>
      <c r="G2" s="6">
        <f t="shared" ref="G2:G18" si="1">C2+F2</f>
        <v>278758240.39999998</v>
      </c>
      <c r="H2" s="6">
        <f>+G2*1.03</f>
        <v>287120987.61199999</v>
      </c>
      <c r="I2" s="6">
        <f>+G2*1.05</f>
        <v>292696152.42000002</v>
      </c>
    </row>
    <row r="3" spans="2:9" x14ac:dyDescent="0.25">
      <c r="B3" s="7" t="s">
        <v>5</v>
      </c>
      <c r="C3" s="6">
        <v>1507669</v>
      </c>
      <c r="D3" s="6"/>
      <c r="E3" s="6"/>
      <c r="F3" s="6">
        <f t="shared" si="0"/>
        <v>105536.83000000002</v>
      </c>
      <c r="G3" s="6">
        <f t="shared" si="1"/>
        <v>1613205.83</v>
      </c>
      <c r="H3" s="6">
        <f t="shared" ref="H3:H32" si="2">+G3*1.03</f>
        <v>1661602.0049000001</v>
      </c>
      <c r="I3" s="6">
        <f t="shared" ref="I3:I32" si="3">+G3*1.05</f>
        <v>1693866.1215000001</v>
      </c>
    </row>
    <row r="4" spans="2:9" x14ac:dyDescent="0.25">
      <c r="B4" s="7" t="s">
        <v>6</v>
      </c>
      <c r="C4" s="6">
        <v>23556985</v>
      </c>
      <c r="D4" s="6"/>
      <c r="E4" s="6"/>
      <c r="F4" s="6">
        <f t="shared" si="0"/>
        <v>1648988.9500000002</v>
      </c>
      <c r="G4" s="6">
        <f t="shared" si="1"/>
        <v>25205973.949999999</v>
      </c>
      <c r="H4" s="6">
        <f t="shared" si="2"/>
        <v>25962153.168499999</v>
      </c>
      <c r="I4" s="6">
        <f t="shared" si="3"/>
        <v>26466272.647500001</v>
      </c>
    </row>
    <row r="5" spans="2:9" x14ac:dyDescent="0.25">
      <c r="B5" s="7" t="s">
        <v>7</v>
      </c>
      <c r="C5" s="6">
        <v>10855061</v>
      </c>
      <c r="D5" s="6"/>
      <c r="E5" s="6"/>
      <c r="F5" s="6">
        <f t="shared" si="0"/>
        <v>759854.27</v>
      </c>
      <c r="G5" s="6">
        <f t="shared" si="1"/>
        <v>11614915.27</v>
      </c>
      <c r="H5" s="6">
        <f t="shared" si="2"/>
        <v>11963362.7281</v>
      </c>
      <c r="I5" s="6">
        <f t="shared" si="3"/>
        <v>12195661.033500001</v>
      </c>
    </row>
    <row r="6" spans="2:9" x14ac:dyDescent="0.25">
      <c r="B6" s="7" t="s">
        <v>8</v>
      </c>
      <c r="C6" s="6">
        <v>11307350</v>
      </c>
      <c r="D6" s="6"/>
      <c r="E6" s="6"/>
      <c r="F6" s="6">
        <f t="shared" si="0"/>
        <v>791514.50000000012</v>
      </c>
      <c r="G6" s="8">
        <f t="shared" si="1"/>
        <v>12098864.5</v>
      </c>
      <c r="H6" s="6">
        <f t="shared" si="2"/>
        <v>12461830.435000001</v>
      </c>
      <c r="I6" s="6">
        <f t="shared" si="3"/>
        <v>12703807.725</v>
      </c>
    </row>
    <row r="7" spans="2:9" x14ac:dyDescent="0.25">
      <c r="B7" s="7" t="s">
        <v>9</v>
      </c>
      <c r="C7" s="6">
        <v>16307350</v>
      </c>
      <c r="D7" s="6"/>
      <c r="E7" s="6"/>
      <c r="F7" s="6">
        <f t="shared" si="0"/>
        <v>1141514.5</v>
      </c>
      <c r="G7" s="8">
        <f t="shared" si="1"/>
        <v>17448864.5</v>
      </c>
      <c r="H7" s="6">
        <f t="shared" si="2"/>
        <v>17972330.434999999</v>
      </c>
      <c r="I7" s="6">
        <f t="shared" si="3"/>
        <v>18321307.725000001</v>
      </c>
    </row>
    <row r="8" spans="2:9" x14ac:dyDescent="0.25">
      <c r="B8" s="7" t="s">
        <v>10</v>
      </c>
      <c r="C8" s="6">
        <v>3062414</v>
      </c>
      <c r="D8" s="6"/>
      <c r="E8" s="6"/>
      <c r="F8" s="6">
        <f t="shared" si="0"/>
        <v>214368.98</v>
      </c>
      <c r="G8" s="8">
        <f t="shared" si="1"/>
        <v>3276782.98</v>
      </c>
      <c r="H8" s="6">
        <f t="shared" si="2"/>
        <v>3375086.4694000003</v>
      </c>
      <c r="I8" s="6">
        <f t="shared" si="3"/>
        <v>3440622.1290000002</v>
      </c>
    </row>
    <row r="9" spans="2:9" x14ac:dyDescent="0.25">
      <c r="B9" s="7" t="s">
        <v>11</v>
      </c>
      <c r="C9" s="6">
        <v>192644000</v>
      </c>
      <c r="D9" s="6"/>
      <c r="E9" s="6"/>
      <c r="F9" s="6">
        <v>12639193</v>
      </c>
      <c r="G9" s="8">
        <f t="shared" si="1"/>
        <v>205283193</v>
      </c>
      <c r="H9" s="6">
        <f t="shared" si="2"/>
        <v>211441688.78999999</v>
      </c>
      <c r="I9" s="6">
        <f t="shared" si="3"/>
        <v>215547352.65000001</v>
      </c>
    </row>
    <row r="10" spans="2:9" x14ac:dyDescent="0.25">
      <c r="B10" s="9" t="s">
        <v>305</v>
      </c>
      <c r="C10" s="6">
        <v>247902500</v>
      </c>
      <c r="D10" s="6"/>
      <c r="E10" s="6"/>
      <c r="F10" s="6">
        <v>44184000</v>
      </c>
      <c r="G10" s="8">
        <f t="shared" si="1"/>
        <v>292086500</v>
      </c>
      <c r="H10" s="6">
        <f t="shared" si="2"/>
        <v>300849095</v>
      </c>
      <c r="I10" s="6">
        <f t="shared" si="3"/>
        <v>306690825</v>
      </c>
    </row>
    <row r="11" spans="2:9" x14ac:dyDescent="0.25">
      <c r="B11" s="7" t="s">
        <v>12</v>
      </c>
      <c r="C11" s="6">
        <v>5210437</v>
      </c>
      <c r="D11" s="6"/>
      <c r="E11" s="6"/>
      <c r="F11" s="6">
        <f>C11*7%</f>
        <v>364730.59</v>
      </c>
      <c r="G11" s="6">
        <f t="shared" si="1"/>
        <v>5575167.5899999999</v>
      </c>
      <c r="H11" s="6">
        <f t="shared" si="2"/>
        <v>5742422.6177000003</v>
      </c>
      <c r="I11" s="6">
        <f t="shared" si="3"/>
        <v>5853925.9694999997</v>
      </c>
    </row>
    <row r="12" spans="2:9" x14ac:dyDescent="0.25">
      <c r="B12" s="7" t="s">
        <v>13</v>
      </c>
      <c r="C12" s="6">
        <v>7815639</v>
      </c>
      <c r="D12" s="6"/>
      <c r="E12" s="6"/>
      <c r="F12" s="6">
        <f t="shared" ref="F12:F17" si="4">C12*7%</f>
        <v>547094.7300000001</v>
      </c>
      <c r="G12" s="6">
        <f t="shared" si="1"/>
        <v>8362733.7300000004</v>
      </c>
      <c r="H12" s="6">
        <f t="shared" si="2"/>
        <v>8613615.7419000007</v>
      </c>
      <c r="I12" s="6">
        <f t="shared" si="3"/>
        <v>8780870.4165000003</v>
      </c>
    </row>
    <row r="13" spans="2:9" x14ac:dyDescent="0.25">
      <c r="B13" s="7" t="s">
        <v>14</v>
      </c>
      <c r="C13" s="6">
        <v>26181564</v>
      </c>
      <c r="D13" s="6"/>
      <c r="E13" s="6"/>
      <c r="F13" s="6">
        <f t="shared" si="4"/>
        <v>1832709.4800000002</v>
      </c>
      <c r="G13" s="6">
        <f t="shared" si="1"/>
        <v>28014273.48</v>
      </c>
      <c r="H13" s="6">
        <f t="shared" si="2"/>
        <v>28854701.6844</v>
      </c>
      <c r="I13" s="6">
        <f t="shared" si="3"/>
        <v>29414987.154000003</v>
      </c>
    </row>
    <row r="14" spans="2:9" x14ac:dyDescent="0.25">
      <c r="B14" s="7" t="s">
        <v>15</v>
      </c>
      <c r="C14" s="6">
        <v>31262562</v>
      </c>
      <c r="D14" s="6"/>
      <c r="E14" s="6"/>
      <c r="F14" s="6">
        <f t="shared" si="4"/>
        <v>2188379.3400000003</v>
      </c>
      <c r="G14" s="6">
        <f t="shared" si="1"/>
        <v>33450941.34</v>
      </c>
      <c r="H14" s="6">
        <f t="shared" si="2"/>
        <v>34454469.580200002</v>
      </c>
      <c r="I14" s="6">
        <f t="shared" si="3"/>
        <v>35123488.406999998</v>
      </c>
    </row>
    <row r="15" spans="2:9" x14ac:dyDescent="0.25">
      <c r="B15" s="7" t="s">
        <v>16</v>
      </c>
      <c r="C15" s="6">
        <v>22144313</v>
      </c>
      <c r="D15" s="6"/>
      <c r="E15" s="6"/>
      <c r="F15" s="6">
        <f t="shared" si="4"/>
        <v>1550101.9100000001</v>
      </c>
      <c r="G15" s="6">
        <f t="shared" si="1"/>
        <v>23694414.91</v>
      </c>
      <c r="H15" s="6">
        <f t="shared" si="2"/>
        <v>24405247.357300002</v>
      </c>
      <c r="I15" s="6">
        <f t="shared" si="3"/>
        <v>24879135.655500002</v>
      </c>
    </row>
    <row r="16" spans="2:9" x14ac:dyDescent="0.25">
      <c r="B16" s="7" t="s">
        <v>17</v>
      </c>
      <c r="C16" s="6">
        <v>1358879</v>
      </c>
      <c r="D16" s="6"/>
      <c r="E16" s="6"/>
      <c r="F16" s="6">
        <f t="shared" si="4"/>
        <v>95121.530000000013</v>
      </c>
      <c r="G16" s="6">
        <f t="shared" si="1"/>
        <v>1454000.53</v>
      </c>
      <c r="H16" s="6">
        <f t="shared" si="2"/>
        <v>1497620.5459</v>
      </c>
      <c r="I16" s="6">
        <f t="shared" si="3"/>
        <v>1526700.5565000002</v>
      </c>
    </row>
    <row r="17" spans="2:10" x14ac:dyDescent="0.25">
      <c r="B17" s="7" t="s">
        <v>18</v>
      </c>
      <c r="C17" s="6">
        <v>10420885</v>
      </c>
      <c r="D17" s="6"/>
      <c r="E17" s="6"/>
      <c r="F17" s="6">
        <f t="shared" si="4"/>
        <v>729461.95000000007</v>
      </c>
      <c r="G17" s="6">
        <f t="shared" si="1"/>
        <v>11150346.949999999</v>
      </c>
      <c r="H17" s="6">
        <f t="shared" si="2"/>
        <v>11484857.3585</v>
      </c>
      <c r="I17" s="6">
        <f t="shared" si="3"/>
        <v>11707864.297499999</v>
      </c>
    </row>
    <row r="18" spans="2:10" x14ac:dyDescent="0.25">
      <c r="B18" s="7" t="s">
        <v>19</v>
      </c>
      <c r="C18" s="6">
        <v>15500000</v>
      </c>
      <c r="D18" s="6"/>
      <c r="E18" s="6"/>
      <c r="F18" s="6">
        <v>1046920</v>
      </c>
      <c r="G18" s="6">
        <f t="shared" si="1"/>
        <v>16546920</v>
      </c>
      <c r="H18" s="6">
        <f t="shared" si="2"/>
        <v>17043327.600000001</v>
      </c>
      <c r="I18" s="6">
        <f t="shared" si="3"/>
        <v>17374266</v>
      </c>
    </row>
    <row r="19" spans="2:10" x14ac:dyDescent="0.25">
      <c r="B19" s="9" t="s">
        <v>20</v>
      </c>
      <c r="C19" s="6">
        <v>53415673</v>
      </c>
      <c r="D19" s="6">
        <v>37915673</v>
      </c>
      <c r="E19" s="6">
        <v>15500000</v>
      </c>
      <c r="F19" s="6">
        <v>4500000</v>
      </c>
      <c r="G19" s="6">
        <f>E19+F19</f>
        <v>20000000</v>
      </c>
      <c r="H19" s="6">
        <f t="shared" si="2"/>
        <v>20600000</v>
      </c>
      <c r="I19" s="6">
        <f t="shared" si="3"/>
        <v>21000000</v>
      </c>
    </row>
    <row r="20" spans="2:10" x14ac:dyDescent="0.25">
      <c r="B20" s="7" t="s">
        <v>21</v>
      </c>
      <c r="C20" s="6">
        <v>17226277</v>
      </c>
      <c r="D20" s="6">
        <v>10126277</v>
      </c>
      <c r="E20" s="6">
        <v>7100000</v>
      </c>
      <c r="F20" s="6">
        <v>7900000</v>
      </c>
      <c r="G20" s="6">
        <f>E20+F20</f>
        <v>15000000</v>
      </c>
      <c r="H20" s="6">
        <f t="shared" si="2"/>
        <v>15450000</v>
      </c>
      <c r="I20" s="6">
        <f t="shared" si="3"/>
        <v>15750000</v>
      </c>
    </row>
    <row r="21" spans="2:10" ht="30" x14ac:dyDescent="0.25">
      <c r="B21" s="9" t="s">
        <v>22</v>
      </c>
      <c r="C21" s="6">
        <v>7286800</v>
      </c>
      <c r="D21" s="6"/>
      <c r="E21" s="6"/>
      <c r="F21" s="6">
        <f>C21*7%</f>
        <v>510076.00000000006</v>
      </c>
      <c r="G21" s="6">
        <f>C21+F21</f>
        <v>7796876</v>
      </c>
      <c r="H21" s="6">
        <f t="shared" si="2"/>
        <v>8030782.2800000003</v>
      </c>
      <c r="I21" s="6">
        <f t="shared" si="3"/>
        <v>8186719.8000000007</v>
      </c>
    </row>
    <row r="22" spans="2:10" x14ac:dyDescent="0.25">
      <c r="B22" s="7" t="s">
        <v>23</v>
      </c>
      <c r="C22" s="6">
        <v>26217172</v>
      </c>
      <c r="D22" s="6">
        <v>13729752</v>
      </c>
      <c r="E22" s="6">
        <v>12487420</v>
      </c>
      <c r="F22" s="6">
        <v>7512756</v>
      </c>
      <c r="G22" s="6">
        <f>E22+F22</f>
        <v>20000176</v>
      </c>
      <c r="H22" s="6">
        <f t="shared" si="2"/>
        <v>20600181.280000001</v>
      </c>
      <c r="I22" s="6">
        <f t="shared" si="3"/>
        <v>21000184.800000001</v>
      </c>
    </row>
    <row r="23" spans="2:10" ht="26.25" customHeight="1" x14ac:dyDescent="0.25">
      <c r="B23" s="9" t="s">
        <v>24</v>
      </c>
      <c r="C23" s="6">
        <v>6000000</v>
      </c>
      <c r="D23" s="6"/>
      <c r="E23" s="6"/>
      <c r="F23" s="6">
        <v>14000000</v>
      </c>
      <c r="G23" s="6">
        <f>C23+F23</f>
        <v>20000000</v>
      </c>
      <c r="H23" s="6">
        <f t="shared" si="2"/>
        <v>20600000</v>
      </c>
      <c r="I23" s="6">
        <f t="shared" si="3"/>
        <v>21000000</v>
      </c>
    </row>
    <row r="24" spans="2:10" x14ac:dyDescent="0.25">
      <c r="B24" s="7" t="s">
        <v>25</v>
      </c>
      <c r="C24" s="6">
        <v>3000000</v>
      </c>
      <c r="D24" s="6"/>
      <c r="E24" s="6"/>
      <c r="F24" s="6">
        <v>3000000</v>
      </c>
      <c r="G24" s="6">
        <f>C24+F24</f>
        <v>6000000</v>
      </c>
      <c r="H24" s="6">
        <f t="shared" si="2"/>
        <v>6180000</v>
      </c>
      <c r="I24" s="6">
        <f t="shared" si="3"/>
        <v>6300000</v>
      </c>
      <c r="J24" t="s">
        <v>37</v>
      </c>
    </row>
    <row r="25" spans="2:10" x14ac:dyDescent="0.25">
      <c r="B25" s="9" t="s">
        <v>26</v>
      </c>
      <c r="C25" s="6">
        <v>5608750</v>
      </c>
      <c r="D25" s="6"/>
      <c r="E25" s="6"/>
      <c r="F25" s="6">
        <v>107859</v>
      </c>
      <c r="G25" s="6">
        <f>C25+F25</f>
        <v>5716609</v>
      </c>
      <c r="H25" s="6">
        <f t="shared" si="2"/>
        <v>5888107.2700000005</v>
      </c>
      <c r="I25" s="6">
        <f t="shared" si="3"/>
        <v>6002439.4500000002</v>
      </c>
    </row>
    <row r="26" spans="2:10" x14ac:dyDescent="0.25">
      <c r="B26" s="7" t="s">
        <v>27</v>
      </c>
      <c r="C26" s="6">
        <v>3000000</v>
      </c>
      <c r="D26" s="6"/>
      <c r="E26" s="6"/>
      <c r="F26" s="6">
        <v>0</v>
      </c>
      <c r="G26" s="6">
        <f>C26+F26</f>
        <v>3000000</v>
      </c>
      <c r="H26" s="6">
        <f t="shared" si="2"/>
        <v>3090000</v>
      </c>
      <c r="I26" s="6">
        <f t="shared" si="3"/>
        <v>3150000</v>
      </c>
    </row>
    <row r="27" spans="2:10" x14ac:dyDescent="0.25">
      <c r="B27" s="9" t="s">
        <v>28</v>
      </c>
      <c r="C27" s="6">
        <v>16000000</v>
      </c>
      <c r="D27" s="6">
        <v>14160361</v>
      </c>
      <c r="E27" s="6">
        <v>1893639</v>
      </c>
      <c r="F27" s="6">
        <v>2106361</v>
      </c>
      <c r="G27" s="6">
        <f>E27+F27</f>
        <v>4000000</v>
      </c>
      <c r="H27" s="6">
        <f t="shared" si="2"/>
        <v>4120000</v>
      </c>
      <c r="I27" s="6">
        <f t="shared" si="3"/>
        <v>4200000</v>
      </c>
    </row>
    <row r="28" spans="2:10" x14ac:dyDescent="0.25">
      <c r="B28" s="7" t="s">
        <v>29</v>
      </c>
      <c r="C28" s="6">
        <v>500000</v>
      </c>
      <c r="D28" s="6"/>
      <c r="E28" s="6"/>
      <c r="F28" s="6">
        <v>1000000</v>
      </c>
      <c r="G28" s="6">
        <f>C28+F28</f>
        <v>1500000</v>
      </c>
      <c r="H28" s="6">
        <f t="shared" si="2"/>
        <v>1545000</v>
      </c>
      <c r="I28" s="6">
        <f t="shared" si="3"/>
        <v>1575000</v>
      </c>
    </row>
    <row r="29" spans="2:10" x14ac:dyDescent="0.25">
      <c r="B29" s="9" t="s">
        <v>30</v>
      </c>
      <c r="C29" s="6">
        <v>1500000</v>
      </c>
      <c r="D29" s="6"/>
      <c r="E29" s="6"/>
      <c r="F29" s="6">
        <v>0</v>
      </c>
      <c r="G29" s="6">
        <f>C29+F29</f>
        <v>1500000</v>
      </c>
      <c r="H29" s="6">
        <f t="shared" si="2"/>
        <v>1545000</v>
      </c>
      <c r="I29" s="6">
        <f t="shared" si="3"/>
        <v>1575000</v>
      </c>
    </row>
    <row r="30" spans="2:10" x14ac:dyDescent="0.25">
      <c r="B30" s="7" t="s">
        <v>31</v>
      </c>
      <c r="C30" s="6">
        <v>2000000</v>
      </c>
      <c r="D30" s="6"/>
      <c r="E30" s="6"/>
      <c r="F30" s="6">
        <v>0</v>
      </c>
      <c r="G30" s="6">
        <f>C30+F30</f>
        <v>2000000</v>
      </c>
      <c r="H30" s="6">
        <f t="shared" si="2"/>
        <v>2060000</v>
      </c>
      <c r="I30" s="6">
        <f t="shared" si="3"/>
        <v>2100000</v>
      </c>
    </row>
    <row r="31" spans="2:10" x14ac:dyDescent="0.25">
      <c r="B31" s="9" t="s">
        <v>32</v>
      </c>
      <c r="C31" s="6">
        <v>12000000</v>
      </c>
      <c r="D31" s="6">
        <v>10786916</v>
      </c>
      <c r="E31" s="6">
        <v>1213084</v>
      </c>
      <c r="F31" s="6">
        <v>3786916</v>
      </c>
      <c r="G31" s="6">
        <f>E31+F31</f>
        <v>5000000</v>
      </c>
      <c r="H31" s="6">
        <f t="shared" si="2"/>
        <v>5150000</v>
      </c>
      <c r="I31" s="6">
        <f t="shared" si="3"/>
        <v>5250000</v>
      </c>
    </row>
    <row r="32" spans="2:10" x14ac:dyDescent="0.25">
      <c r="B32" s="7" t="s">
        <v>33</v>
      </c>
      <c r="C32" s="6">
        <v>1000000</v>
      </c>
      <c r="D32" s="6"/>
      <c r="E32" s="6"/>
      <c r="F32" s="6">
        <v>1000000</v>
      </c>
      <c r="G32" s="6">
        <f>C32+F32</f>
        <v>2000000</v>
      </c>
      <c r="H32" s="6">
        <f t="shared" si="2"/>
        <v>2060000</v>
      </c>
      <c r="I32" s="6">
        <f t="shared" si="3"/>
        <v>2100000</v>
      </c>
    </row>
    <row r="33" spans="2:9" ht="15.75" x14ac:dyDescent="0.25">
      <c r="B33" s="10" t="s">
        <v>36</v>
      </c>
      <c r="C33" s="11">
        <f>SUM(C2:C32)</f>
        <v>1042314000</v>
      </c>
      <c r="D33" s="6"/>
      <c r="E33" s="6"/>
      <c r="F33" s="6"/>
      <c r="G33" s="11">
        <f>SUM(G2:G32)</f>
        <v>1089148999.96</v>
      </c>
      <c r="H33" s="11">
        <f>SUM(H2:H32)</f>
        <v>1121823469.9587998</v>
      </c>
      <c r="I33" s="11">
        <f>SUM(I2:I32)</f>
        <v>1143606449.9579999</v>
      </c>
    </row>
  </sheetData>
  <printOptions horizontalCentered="1"/>
  <pageMargins left="0.51181102362204722" right="0.51181102362204722" top="0.55118110236220474" bottom="0.5511811023622047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workbookViewId="0">
      <selection activeCell="N1" sqref="N1:N1048576"/>
    </sheetView>
  </sheetViews>
  <sheetFormatPr baseColWidth="10" defaultRowHeight="15" x14ac:dyDescent="0.25"/>
  <cols>
    <col min="1" max="1" width="1.85546875" customWidth="1"/>
    <col min="2" max="2" width="28.42578125" bestFit="1" customWidth="1"/>
    <col min="3" max="3" width="17.85546875" hidden="1" customWidth="1"/>
    <col min="4" max="4" width="11.5703125" style="2" hidden="1" customWidth="1"/>
    <col min="5" max="5" width="13.42578125" style="2" hidden="1" customWidth="1"/>
    <col min="6" max="6" width="16.42578125" style="2" hidden="1" customWidth="1"/>
    <col min="7" max="7" width="16.140625" style="2" customWidth="1"/>
    <col min="8" max="8" width="15.7109375" customWidth="1"/>
    <col min="9" max="9" width="14.42578125" bestFit="1" customWidth="1"/>
    <col min="10" max="10" width="14.140625" bestFit="1" customWidth="1"/>
    <col min="11" max="11" width="3.42578125" customWidth="1"/>
    <col min="12" max="12" width="12.5703125" bestFit="1" customWidth="1"/>
    <col min="13" max="13" width="8.85546875" bestFit="1" customWidth="1"/>
  </cols>
  <sheetData>
    <row r="1" spans="2:13" ht="36.75" customHeight="1" x14ac:dyDescent="0.25">
      <c r="B1" s="1" t="s">
        <v>0</v>
      </c>
      <c r="C1" s="3" t="s">
        <v>2</v>
      </c>
      <c r="D1" s="3" t="s">
        <v>34</v>
      </c>
      <c r="E1" s="12" t="s">
        <v>35</v>
      </c>
      <c r="F1" s="4" t="s">
        <v>4</v>
      </c>
      <c r="G1" s="1" t="s">
        <v>3</v>
      </c>
      <c r="H1" s="109" t="s">
        <v>264</v>
      </c>
      <c r="I1" s="110" t="s">
        <v>265</v>
      </c>
      <c r="J1" s="111" t="s">
        <v>266</v>
      </c>
      <c r="L1" s="111" t="s">
        <v>331</v>
      </c>
      <c r="M1" s="111" t="s">
        <v>332</v>
      </c>
    </row>
    <row r="2" spans="2:13" ht="18" customHeight="1" x14ac:dyDescent="0.25">
      <c r="B2" s="53" t="s">
        <v>1</v>
      </c>
      <c r="C2" s="6">
        <v>260521720</v>
      </c>
      <c r="D2" s="6"/>
      <c r="E2" s="6"/>
      <c r="F2" s="6">
        <f t="shared" ref="F2:F8" si="0">C2*7%</f>
        <v>18236520.400000002</v>
      </c>
      <c r="G2" s="6">
        <f t="shared" ref="G2:G18" si="1">C2+F2</f>
        <v>278758240.39999998</v>
      </c>
      <c r="H2" s="6">
        <v>129697415</v>
      </c>
      <c r="I2" s="6">
        <v>21710108</v>
      </c>
      <c r="J2" s="6">
        <f>+H2-I2</f>
        <v>107987307</v>
      </c>
      <c r="L2" s="6">
        <f>+G2-J2</f>
        <v>170770933.39999998</v>
      </c>
      <c r="M2" s="144">
        <f>+L2/G2</f>
        <v>0.6126130411605224</v>
      </c>
    </row>
    <row r="3" spans="2:13" ht="18" customHeight="1" x14ac:dyDescent="0.25">
      <c r="B3" s="7" t="s">
        <v>5</v>
      </c>
      <c r="C3" s="6">
        <v>1507669</v>
      </c>
      <c r="D3" s="6"/>
      <c r="E3" s="6"/>
      <c r="F3" s="6">
        <f t="shared" si="0"/>
        <v>105536.83000000002</v>
      </c>
      <c r="G3" s="6">
        <f t="shared" si="1"/>
        <v>1613205.83</v>
      </c>
      <c r="H3" s="6">
        <v>1598108</v>
      </c>
      <c r="I3" s="6">
        <v>0</v>
      </c>
      <c r="J3" s="6">
        <f t="shared" ref="J3:J32" si="2">+H3-I3</f>
        <v>1598108</v>
      </c>
      <c r="L3" s="6">
        <f t="shared" ref="L3:L33" si="3">+G3-J3</f>
        <v>15097.830000000075</v>
      </c>
      <c r="M3" s="144">
        <f t="shared" ref="M3:M33" si="4">+L3/G3</f>
        <v>9.3588987339576334E-3</v>
      </c>
    </row>
    <row r="4" spans="2:13" ht="18" customHeight="1" x14ac:dyDescent="0.25">
      <c r="B4" s="7" t="s">
        <v>6</v>
      </c>
      <c r="C4" s="6">
        <v>23556985</v>
      </c>
      <c r="D4" s="6"/>
      <c r="E4" s="6"/>
      <c r="F4" s="6">
        <f t="shared" si="0"/>
        <v>1648988.9500000002</v>
      </c>
      <c r="G4" s="6">
        <f t="shared" si="1"/>
        <v>25205973.949999999</v>
      </c>
      <c r="H4" s="6">
        <v>24967452</v>
      </c>
      <c r="I4" s="6">
        <v>0</v>
      </c>
      <c r="J4" s="6">
        <f t="shared" si="2"/>
        <v>24967452</v>
      </c>
      <c r="L4" s="6">
        <f t="shared" si="3"/>
        <v>238521.94999999925</v>
      </c>
      <c r="M4" s="144">
        <f t="shared" si="4"/>
        <v>9.462913453498957E-3</v>
      </c>
    </row>
    <row r="5" spans="2:13" ht="18" customHeight="1" x14ac:dyDescent="0.25">
      <c r="B5" s="7" t="s">
        <v>7</v>
      </c>
      <c r="C5" s="6">
        <v>10855061</v>
      </c>
      <c r="D5" s="6"/>
      <c r="E5" s="6"/>
      <c r="F5" s="6">
        <f t="shared" si="0"/>
        <v>759854.27</v>
      </c>
      <c r="G5" s="6">
        <f t="shared" si="1"/>
        <v>11614915.27</v>
      </c>
      <c r="H5" s="6">
        <v>4350474</v>
      </c>
      <c r="I5" s="6">
        <v>0</v>
      </c>
      <c r="J5" s="6">
        <f t="shared" si="2"/>
        <v>4350474</v>
      </c>
      <c r="L5" s="6">
        <f t="shared" si="3"/>
        <v>7264441.2699999996</v>
      </c>
      <c r="M5" s="144">
        <f t="shared" si="4"/>
        <v>0.62544074589706411</v>
      </c>
    </row>
    <row r="6" spans="2:13" ht="18" customHeight="1" x14ac:dyDescent="0.25">
      <c r="B6" s="7" t="s">
        <v>8</v>
      </c>
      <c r="C6" s="6">
        <v>11307350</v>
      </c>
      <c r="D6" s="6"/>
      <c r="E6" s="6"/>
      <c r="F6" s="6">
        <f t="shared" si="0"/>
        <v>791514.50000000012</v>
      </c>
      <c r="G6" s="8">
        <f t="shared" si="1"/>
        <v>12098864.5</v>
      </c>
      <c r="H6" s="6">
        <v>11946628</v>
      </c>
      <c r="I6" s="6">
        <v>0</v>
      </c>
      <c r="J6" s="6">
        <f t="shared" si="2"/>
        <v>11946628</v>
      </c>
      <c r="L6" s="6">
        <f t="shared" si="3"/>
        <v>152236.5</v>
      </c>
      <c r="M6" s="144">
        <f t="shared" si="4"/>
        <v>1.2582709724536546E-2</v>
      </c>
    </row>
    <row r="7" spans="2:13" ht="18" customHeight="1" x14ac:dyDescent="0.25">
      <c r="B7" s="7" t="s">
        <v>9</v>
      </c>
      <c r="C7" s="6">
        <v>16307350</v>
      </c>
      <c r="D7" s="6"/>
      <c r="E7" s="6"/>
      <c r="F7" s="6">
        <f t="shared" si="0"/>
        <v>1141514.5</v>
      </c>
      <c r="G7" s="8">
        <f t="shared" si="1"/>
        <v>17448864.5</v>
      </c>
      <c r="H7" s="6">
        <v>16911903</v>
      </c>
      <c r="I7" s="6">
        <v>0</v>
      </c>
      <c r="J7" s="6">
        <f t="shared" si="2"/>
        <v>16911903</v>
      </c>
      <c r="L7" s="6">
        <f t="shared" si="3"/>
        <v>536961.5</v>
      </c>
      <c r="M7" s="144">
        <f t="shared" si="4"/>
        <v>3.0773435142441505E-2</v>
      </c>
    </row>
    <row r="8" spans="2:13" ht="18" customHeight="1" x14ac:dyDescent="0.25">
      <c r="B8" s="7" t="s">
        <v>10</v>
      </c>
      <c r="C8" s="6">
        <v>3062414</v>
      </c>
      <c r="D8" s="6"/>
      <c r="E8" s="6"/>
      <c r="F8" s="6">
        <f t="shared" si="0"/>
        <v>214368.98</v>
      </c>
      <c r="G8" s="8">
        <f t="shared" si="1"/>
        <v>3276782.98</v>
      </c>
      <c r="H8" s="6">
        <v>3275352</v>
      </c>
      <c r="I8" s="6">
        <v>0</v>
      </c>
      <c r="J8" s="6">
        <f t="shared" si="2"/>
        <v>3275352</v>
      </c>
      <c r="L8" s="6">
        <f t="shared" si="3"/>
        <v>1430.9799999999814</v>
      </c>
      <c r="M8" s="144">
        <f t="shared" si="4"/>
        <v>4.367027077270712E-4</v>
      </c>
    </row>
    <row r="9" spans="2:13" ht="18" customHeight="1" x14ac:dyDescent="0.25">
      <c r="B9" s="7" t="s">
        <v>11</v>
      </c>
      <c r="C9" s="6">
        <v>192644000</v>
      </c>
      <c r="D9" s="6"/>
      <c r="E9" s="6"/>
      <c r="F9" s="6">
        <v>12639193</v>
      </c>
      <c r="G9" s="8">
        <f t="shared" si="1"/>
        <v>205283193</v>
      </c>
      <c r="H9" s="6">
        <f>1893193+3906807</f>
        <v>5800000</v>
      </c>
      <c r="I9" s="6">
        <v>5800000</v>
      </c>
      <c r="J9" s="6">
        <f t="shared" si="2"/>
        <v>0</v>
      </c>
      <c r="L9" s="6">
        <f t="shared" si="3"/>
        <v>205283193</v>
      </c>
      <c r="M9" s="144">
        <f t="shared" si="4"/>
        <v>1</v>
      </c>
    </row>
    <row r="10" spans="2:13" ht="18" customHeight="1" x14ac:dyDescent="0.25">
      <c r="B10" s="9" t="s">
        <v>267</v>
      </c>
      <c r="C10" s="6">
        <v>247902500</v>
      </c>
      <c r="D10" s="6"/>
      <c r="E10" s="6"/>
      <c r="F10" s="6">
        <v>44184000</v>
      </c>
      <c r="G10" s="8">
        <f t="shared" si="1"/>
        <v>292086500</v>
      </c>
      <c r="H10" s="6">
        <v>3600000</v>
      </c>
      <c r="I10" s="6">
        <v>3600000</v>
      </c>
      <c r="J10" s="6">
        <f t="shared" si="2"/>
        <v>0</v>
      </c>
      <c r="L10" s="6">
        <f t="shared" si="3"/>
        <v>292086500</v>
      </c>
      <c r="M10" s="144">
        <f t="shared" si="4"/>
        <v>1</v>
      </c>
    </row>
    <row r="11" spans="2:13" ht="18" customHeight="1" x14ac:dyDescent="0.25">
      <c r="B11" s="7" t="s">
        <v>12</v>
      </c>
      <c r="C11" s="6">
        <v>5210437</v>
      </c>
      <c r="D11" s="6"/>
      <c r="E11" s="6"/>
      <c r="F11" s="6">
        <f>C11*7%</f>
        <v>364730.59</v>
      </c>
      <c r="G11" s="6">
        <f t="shared" si="1"/>
        <v>5575167.5899999999</v>
      </c>
      <c r="H11" s="6">
        <v>2571268</v>
      </c>
      <c r="I11" s="6">
        <v>433900</v>
      </c>
      <c r="J11" s="6">
        <f t="shared" si="2"/>
        <v>2137368</v>
      </c>
      <c r="L11" s="6">
        <f t="shared" si="3"/>
        <v>3437799.59</v>
      </c>
      <c r="M11" s="144">
        <f t="shared" si="4"/>
        <v>0.61662712994785507</v>
      </c>
    </row>
    <row r="12" spans="2:13" ht="18" customHeight="1" x14ac:dyDescent="0.25">
      <c r="B12" s="7" t="s">
        <v>13</v>
      </c>
      <c r="C12" s="6">
        <v>7815639</v>
      </c>
      <c r="D12" s="6"/>
      <c r="E12" s="6"/>
      <c r="F12" s="6">
        <f t="shared" ref="F12:F17" si="5">C12*7%</f>
        <v>547094.7300000001</v>
      </c>
      <c r="G12" s="6">
        <f t="shared" si="1"/>
        <v>8362733.7300000004</v>
      </c>
      <c r="H12" s="6">
        <v>3853834</v>
      </c>
      <c r="I12" s="6">
        <v>651300</v>
      </c>
      <c r="J12" s="6">
        <f t="shared" si="2"/>
        <v>3202534</v>
      </c>
      <c r="L12" s="6">
        <f t="shared" si="3"/>
        <v>5160199.7300000004</v>
      </c>
      <c r="M12" s="144">
        <f t="shared" si="4"/>
        <v>0.61704699642517502</v>
      </c>
    </row>
    <row r="13" spans="2:13" ht="18" customHeight="1" x14ac:dyDescent="0.25">
      <c r="B13" s="7" t="s">
        <v>14</v>
      </c>
      <c r="C13" s="6">
        <v>26181564</v>
      </c>
      <c r="D13" s="6"/>
      <c r="E13" s="6"/>
      <c r="F13" s="6">
        <f t="shared" si="5"/>
        <v>1832709.4800000002</v>
      </c>
      <c r="G13" s="6">
        <f t="shared" si="1"/>
        <v>28014273.48</v>
      </c>
      <c r="H13" s="6">
        <v>27775751</v>
      </c>
      <c r="I13" s="6">
        <v>0</v>
      </c>
      <c r="J13" s="6">
        <f t="shared" si="2"/>
        <v>27775751</v>
      </c>
      <c r="L13" s="6">
        <f t="shared" si="3"/>
        <v>238522.48000000045</v>
      </c>
      <c r="M13" s="144">
        <f t="shared" si="4"/>
        <v>8.5143196795835815E-3</v>
      </c>
    </row>
    <row r="14" spans="2:13" ht="18" customHeight="1" x14ac:dyDescent="0.25">
      <c r="B14" s="7" t="s">
        <v>15</v>
      </c>
      <c r="C14" s="6">
        <v>31262562</v>
      </c>
      <c r="D14" s="6"/>
      <c r="E14" s="6"/>
      <c r="F14" s="6">
        <f t="shared" si="5"/>
        <v>2188379.3400000003</v>
      </c>
      <c r="G14" s="6">
        <f t="shared" si="1"/>
        <v>33450941.34</v>
      </c>
      <c r="H14" s="6">
        <v>14665115</v>
      </c>
      <c r="I14" s="6">
        <v>2604824</v>
      </c>
      <c r="J14" s="6">
        <f t="shared" si="2"/>
        <v>12060291</v>
      </c>
      <c r="L14" s="6">
        <f t="shared" si="3"/>
        <v>21390650.34</v>
      </c>
      <c r="M14" s="144">
        <f t="shared" si="4"/>
        <v>0.63946332997276423</v>
      </c>
    </row>
    <row r="15" spans="2:13" ht="18" customHeight="1" x14ac:dyDescent="0.25">
      <c r="B15" s="7" t="s">
        <v>16</v>
      </c>
      <c r="C15" s="6">
        <v>22144313</v>
      </c>
      <c r="D15" s="6"/>
      <c r="E15" s="6"/>
      <c r="F15" s="6">
        <f t="shared" si="5"/>
        <v>1550101.9100000001</v>
      </c>
      <c r="G15" s="6">
        <f t="shared" si="1"/>
        <v>23694414.91</v>
      </c>
      <c r="H15" s="6">
        <v>10917894</v>
      </c>
      <c r="I15" s="6">
        <v>1845096</v>
      </c>
      <c r="J15" s="6">
        <f t="shared" si="2"/>
        <v>9072798</v>
      </c>
      <c r="L15" s="6">
        <f t="shared" si="3"/>
        <v>14621616.91</v>
      </c>
      <c r="M15" s="144">
        <f t="shared" si="4"/>
        <v>0.6170912835593626</v>
      </c>
    </row>
    <row r="16" spans="2:13" ht="18" customHeight="1" x14ac:dyDescent="0.25">
      <c r="B16" s="7" t="s">
        <v>17</v>
      </c>
      <c r="C16" s="6">
        <v>1358879</v>
      </c>
      <c r="D16" s="6"/>
      <c r="E16" s="6"/>
      <c r="F16" s="6">
        <f t="shared" si="5"/>
        <v>95121.530000000013</v>
      </c>
      <c r="G16" s="6">
        <f t="shared" si="1"/>
        <v>1454000.53</v>
      </c>
      <c r="H16" s="6">
        <v>669600</v>
      </c>
      <c r="I16" s="6">
        <v>113300</v>
      </c>
      <c r="J16" s="6">
        <f t="shared" si="2"/>
        <v>556300</v>
      </c>
      <c r="L16" s="6">
        <f t="shared" si="3"/>
        <v>897700.53</v>
      </c>
      <c r="M16" s="144">
        <f t="shared" si="4"/>
        <v>0.61740041456518591</v>
      </c>
    </row>
    <row r="17" spans="2:13" ht="18" customHeight="1" x14ac:dyDescent="0.25">
      <c r="B17" s="7" t="s">
        <v>18</v>
      </c>
      <c r="C17" s="6">
        <v>10420885</v>
      </c>
      <c r="D17" s="6"/>
      <c r="E17" s="6"/>
      <c r="F17" s="6">
        <f t="shared" si="5"/>
        <v>729461.95000000007</v>
      </c>
      <c r="G17" s="6">
        <f t="shared" si="1"/>
        <v>11150346.949999999</v>
      </c>
      <c r="H17" s="6">
        <v>5139147</v>
      </c>
      <c r="I17" s="6">
        <v>868300</v>
      </c>
      <c r="J17" s="6">
        <f t="shared" si="2"/>
        <v>4270847</v>
      </c>
      <c r="L17" s="6">
        <f t="shared" si="3"/>
        <v>6879499.9499999993</v>
      </c>
      <c r="M17" s="144">
        <f t="shared" si="4"/>
        <v>0.61697631301060096</v>
      </c>
    </row>
    <row r="18" spans="2:13" ht="18" customHeight="1" x14ac:dyDescent="0.25">
      <c r="B18" s="7" t="s">
        <v>19</v>
      </c>
      <c r="C18" s="6">
        <v>15500000</v>
      </c>
      <c r="D18" s="6"/>
      <c r="E18" s="6"/>
      <c r="F18" s="6">
        <v>1046920</v>
      </c>
      <c r="G18" s="6">
        <f t="shared" si="1"/>
        <v>16546920</v>
      </c>
      <c r="H18" s="6">
        <v>5515640</v>
      </c>
      <c r="I18" s="6">
        <v>1378910</v>
      </c>
      <c r="J18" s="6">
        <f t="shared" si="2"/>
        <v>4136730</v>
      </c>
      <c r="L18" s="6">
        <f t="shared" si="3"/>
        <v>12410190</v>
      </c>
      <c r="M18" s="144">
        <f t="shared" si="4"/>
        <v>0.75</v>
      </c>
    </row>
    <row r="19" spans="2:13" ht="18" customHeight="1" x14ac:dyDescent="0.25">
      <c r="B19" s="7" t="s">
        <v>21</v>
      </c>
      <c r="C19" s="6">
        <v>17226277</v>
      </c>
      <c r="D19" s="6">
        <v>10126277</v>
      </c>
      <c r="E19" s="6">
        <v>7100000</v>
      </c>
      <c r="F19" s="6">
        <v>7900000</v>
      </c>
      <c r="G19" s="6">
        <f>E19+F19</f>
        <v>15000000</v>
      </c>
      <c r="H19" s="6">
        <v>0</v>
      </c>
      <c r="I19" s="6">
        <v>0</v>
      </c>
      <c r="J19" s="6">
        <f t="shared" ref="J19:J24" si="6">+H19-I19</f>
        <v>0</v>
      </c>
      <c r="L19" s="6">
        <f t="shared" si="3"/>
        <v>15000000</v>
      </c>
      <c r="M19" s="144">
        <f t="shared" si="4"/>
        <v>1</v>
      </c>
    </row>
    <row r="20" spans="2:13" ht="18" customHeight="1" x14ac:dyDescent="0.25">
      <c r="B20" s="9" t="s">
        <v>269</v>
      </c>
      <c r="C20" s="6">
        <v>7286800</v>
      </c>
      <c r="D20" s="6"/>
      <c r="E20" s="6"/>
      <c r="F20" s="6">
        <f>C20*7%</f>
        <v>510076.00000000006</v>
      </c>
      <c r="G20" s="6">
        <f>C20+F20</f>
        <v>7796876</v>
      </c>
      <c r="H20" s="6">
        <v>0</v>
      </c>
      <c r="I20" s="6">
        <v>0</v>
      </c>
      <c r="J20" s="6">
        <f t="shared" si="6"/>
        <v>0</v>
      </c>
      <c r="L20" s="6">
        <f t="shared" si="3"/>
        <v>7796876</v>
      </c>
      <c r="M20" s="144">
        <f t="shared" si="4"/>
        <v>1</v>
      </c>
    </row>
    <row r="21" spans="2:13" ht="18" customHeight="1" x14ac:dyDescent="0.25">
      <c r="B21" s="9" t="s">
        <v>24</v>
      </c>
      <c r="C21" s="6">
        <v>6000000</v>
      </c>
      <c r="D21" s="6"/>
      <c r="E21" s="6"/>
      <c r="F21" s="6">
        <v>14000000</v>
      </c>
      <c r="G21" s="6">
        <f>C21+F21</f>
        <v>20000000</v>
      </c>
      <c r="H21" s="6">
        <v>19810000</v>
      </c>
      <c r="I21" s="6">
        <v>0</v>
      </c>
      <c r="J21" s="6">
        <f t="shared" si="6"/>
        <v>19810000</v>
      </c>
      <c r="L21" s="6">
        <f t="shared" si="3"/>
        <v>190000</v>
      </c>
      <c r="M21" s="144">
        <f t="shared" si="4"/>
        <v>9.4999999999999998E-3</v>
      </c>
    </row>
    <row r="22" spans="2:13" ht="18" customHeight="1" x14ac:dyDescent="0.25">
      <c r="B22" s="9" t="s">
        <v>26</v>
      </c>
      <c r="C22" s="6">
        <v>5608750</v>
      </c>
      <c r="D22" s="6"/>
      <c r="E22" s="6"/>
      <c r="F22" s="6">
        <v>107859</v>
      </c>
      <c r="G22" s="6">
        <f>C22+F22</f>
        <v>5716609</v>
      </c>
      <c r="H22" s="6">
        <v>1508500</v>
      </c>
      <c r="I22" s="6">
        <v>0</v>
      </c>
      <c r="J22" s="6">
        <f t="shared" si="6"/>
        <v>1508500</v>
      </c>
      <c r="L22" s="6">
        <f t="shared" si="3"/>
        <v>4208109</v>
      </c>
      <c r="M22" s="144">
        <f t="shared" si="4"/>
        <v>0.73611978709756076</v>
      </c>
    </row>
    <row r="23" spans="2:13" ht="18" customHeight="1" x14ac:dyDescent="0.25">
      <c r="B23" s="7" t="s">
        <v>29</v>
      </c>
      <c r="C23" s="6">
        <v>500000</v>
      </c>
      <c r="D23" s="6"/>
      <c r="E23" s="6"/>
      <c r="F23" s="6">
        <v>1000000</v>
      </c>
      <c r="G23" s="6">
        <f>C23+F23</f>
        <v>1500000</v>
      </c>
      <c r="H23" s="6">
        <v>1500000</v>
      </c>
      <c r="I23" s="6">
        <v>0</v>
      </c>
      <c r="J23" s="6">
        <f t="shared" si="6"/>
        <v>1500000</v>
      </c>
      <c r="L23" s="6">
        <f t="shared" si="3"/>
        <v>0</v>
      </c>
      <c r="M23" s="144">
        <f t="shared" si="4"/>
        <v>0</v>
      </c>
    </row>
    <row r="24" spans="2:13" ht="18" customHeight="1" x14ac:dyDescent="0.25">
      <c r="B24" s="7" t="s">
        <v>306</v>
      </c>
      <c r="C24" s="6">
        <v>2000000</v>
      </c>
      <c r="D24" s="6"/>
      <c r="E24" s="6"/>
      <c r="F24" s="6">
        <v>0</v>
      </c>
      <c r="G24" s="6">
        <f>C24+F24</f>
        <v>2000000</v>
      </c>
      <c r="H24" s="6">
        <v>0</v>
      </c>
      <c r="I24" s="6">
        <v>0</v>
      </c>
      <c r="J24" s="6">
        <f t="shared" si="6"/>
        <v>0</v>
      </c>
      <c r="L24" s="6">
        <f t="shared" si="3"/>
        <v>2000000</v>
      </c>
      <c r="M24" s="144">
        <f t="shared" si="4"/>
        <v>1</v>
      </c>
    </row>
    <row r="25" spans="2:13" ht="18" customHeight="1" x14ac:dyDescent="0.25">
      <c r="B25" s="7" t="s">
        <v>23</v>
      </c>
      <c r="C25" s="6">
        <v>26217172</v>
      </c>
      <c r="D25" s="6">
        <v>13729752</v>
      </c>
      <c r="E25" s="6">
        <v>12487420</v>
      </c>
      <c r="F25" s="6">
        <v>7512756</v>
      </c>
      <c r="G25" s="6">
        <f>E25+F25</f>
        <v>20000176</v>
      </c>
      <c r="H25" s="6">
        <v>20000176</v>
      </c>
      <c r="I25" s="6">
        <v>0</v>
      </c>
      <c r="J25" s="6">
        <f>+H25-I25</f>
        <v>20000176</v>
      </c>
      <c r="L25" s="6">
        <f t="shared" si="3"/>
        <v>0</v>
      </c>
      <c r="M25" s="144">
        <f t="shared" si="4"/>
        <v>0</v>
      </c>
    </row>
    <row r="26" spans="2:13" ht="18" customHeight="1" x14ac:dyDescent="0.25">
      <c r="B26" s="9" t="s">
        <v>268</v>
      </c>
      <c r="C26" s="6">
        <v>53415673</v>
      </c>
      <c r="D26" s="6">
        <v>37915673</v>
      </c>
      <c r="E26" s="6">
        <v>15500000</v>
      </c>
      <c r="F26" s="6">
        <v>4500000</v>
      </c>
      <c r="G26" s="6">
        <f>E26+F26</f>
        <v>20000000</v>
      </c>
      <c r="H26" s="6">
        <v>1025218</v>
      </c>
      <c r="I26" s="6">
        <v>0</v>
      </c>
      <c r="J26" s="6">
        <f>+H26-I26</f>
        <v>1025218</v>
      </c>
      <c r="L26" s="6">
        <f t="shared" si="3"/>
        <v>18974782</v>
      </c>
      <c r="M26" s="144">
        <f t="shared" si="4"/>
        <v>0.94873909999999995</v>
      </c>
    </row>
    <row r="27" spans="2:13" ht="18" customHeight="1" x14ac:dyDescent="0.25">
      <c r="B27" s="7" t="s">
        <v>25</v>
      </c>
      <c r="C27" s="6">
        <v>3000000</v>
      </c>
      <c r="D27" s="6"/>
      <c r="E27" s="6"/>
      <c r="F27" s="6">
        <v>3000000</v>
      </c>
      <c r="G27" s="6">
        <f>C27+F27</f>
        <v>6000000</v>
      </c>
      <c r="H27" s="6">
        <v>8640187</v>
      </c>
      <c r="I27" s="6">
        <v>0</v>
      </c>
      <c r="J27" s="6">
        <f t="shared" si="2"/>
        <v>8640187</v>
      </c>
      <c r="L27" s="6">
        <f t="shared" si="3"/>
        <v>-2640187</v>
      </c>
      <c r="M27" s="144">
        <f t="shared" si="4"/>
        <v>-0.44003116666666664</v>
      </c>
    </row>
    <row r="28" spans="2:13" ht="18" customHeight="1" x14ac:dyDescent="0.25">
      <c r="B28" s="7" t="s">
        <v>27</v>
      </c>
      <c r="C28" s="6">
        <v>3000000</v>
      </c>
      <c r="D28" s="6"/>
      <c r="E28" s="6"/>
      <c r="F28" s="6">
        <v>0</v>
      </c>
      <c r="G28" s="6">
        <f>C28+F28</f>
        <v>3000000</v>
      </c>
      <c r="H28" s="6">
        <v>3000000</v>
      </c>
      <c r="I28" s="6">
        <v>0</v>
      </c>
      <c r="J28" s="6">
        <f t="shared" si="2"/>
        <v>3000000</v>
      </c>
      <c r="L28" s="6">
        <f t="shared" si="3"/>
        <v>0</v>
      </c>
      <c r="M28" s="144">
        <f t="shared" si="4"/>
        <v>0</v>
      </c>
    </row>
    <row r="29" spans="2:13" ht="18" customHeight="1" x14ac:dyDescent="0.25">
      <c r="B29" s="9" t="s">
        <v>28</v>
      </c>
      <c r="C29" s="6">
        <v>16000000</v>
      </c>
      <c r="D29" s="6">
        <v>14160361</v>
      </c>
      <c r="E29" s="6">
        <v>1893639</v>
      </c>
      <c r="F29" s="6">
        <v>2106361</v>
      </c>
      <c r="G29" s="6">
        <f>E29+F29</f>
        <v>4000000</v>
      </c>
      <c r="H29" s="6">
        <f>1328128+935040+976800</f>
        <v>3239968</v>
      </c>
      <c r="I29" s="6">
        <f>125976+13920+13920</f>
        <v>153816</v>
      </c>
      <c r="J29" s="6">
        <f t="shared" si="2"/>
        <v>3086152</v>
      </c>
      <c r="L29" s="6">
        <f t="shared" si="3"/>
        <v>913848</v>
      </c>
      <c r="M29" s="144">
        <f t="shared" si="4"/>
        <v>0.228462</v>
      </c>
    </row>
    <row r="30" spans="2:13" ht="18" customHeight="1" x14ac:dyDescent="0.25">
      <c r="B30" s="9" t="s">
        <v>30</v>
      </c>
      <c r="C30" s="6">
        <v>1500000</v>
      </c>
      <c r="D30" s="6"/>
      <c r="E30" s="6"/>
      <c r="F30" s="6">
        <v>0</v>
      </c>
      <c r="G30" s="6">
        <f>C30+F30</f>
        <v>1500000</v>
      </c>
      <c r="H30" s="6">
        <v>1500000</v>
      </c>
      <c r="I30" s="6">
        <v>0</v>
      </c>
      <c r="J30" s="6">
        <f t="shared" si="2"/>
        <v>1500000</v>
      </c>
      <c r="L30" s="6">
        <f t="shared" si="3"/>
        <v>0</v>
      </c>
      <c r="M30" s="144">
        <f t="shared" si="4"/>
        <v>0</v>
      </c>
    </row>
    <row r="31" spans="2:13" ht="18" customHeight="1" x14ac:dyDescent="0.25">
      <c r="B31" s="9" t="s">
        <v>32</v>
      </c>
      <c r="C31" s="6">
        <v>12000000</v>
      </c>
      <c r="D31" s="6">
        <v>10786916</v>
      </c>
      <c r="E31" s="6">
        <v>1213084</v>
      </c>
      <c r="F31" s="6">
        <v>3786916</v>
      </c>
      <c r="G31" s="6">
        <f>E31+F31</f>
        <v>5000000</v>
      </c>
      <c r="H31" s="6">
        <v>5000000</v>
      </c>
      <c r="I31" s="6">
        <v>0</v>
      </c>
      <c r="J31" s="6">
        <f t="shared" si="2"/>
        <v>5000000</v>
      </c>
      <c r="L31" s="6">
        <f t="shared" si="3"/>
        <v>0</v>
      </c>
      <c r="M31" s="144">
        <f t="shared" si="4"/>
        <v>0</v>
      </c>
    </row>
    <row r="32" spans="2:13" ht="18" customHeight="1" x14ac:dyDescent="0.25">
      <c r="B32" s="7" t="s">
        <v>33</v>
      </c>
      <c r="C32" s="6">
        <v>1000000</v>
      </c>
      <c r="D32" s="6"/>
      <c r="E32" s="6"/>
      <c r="F32" s="6">
        <v>1000000</v>
      </c>
      <c r="G32" s="6">
        <f>C32+F32</f>
        <v>2000000</v>
      </c>
      <c r="H32" s="6">
        <v>1781122</v>
      </c>
      <c r="I32" s="6">
        <v>0</v>
      </c>
      <c r="J32" s="6">
        <f t="shared" si="2"/>
        <v>1781122</v>
      </c>
      <c r="L32" s="6">
        <f t="shared" si="3"/>
        <v>218878</v>
      </c>
      <c r="M32" s="144">
        <f t="shared" si="4"/>
        <v>0.10943899999999999</v>
      </c>
    </row>
    <row r="33" spans="2:13" ht="18" customHeight="1" x14ac:dyDescent="0.25">
      <c r="B33" s="10" t="s">
        <v>36</v>
      </c>
      <c r="C33" s="11">
        <f>SUM(C2:C32)</f>
        <v>1042314000</v>
      </c>
      <c r="D33" s="6"/>
      <c r="E33" s="6"/>
      <c r="F33" s="6"/>
      <c r="G33" s="11">
        <f>SUM(G2:G32)</f>
        <v>1089148999.96</v>
      </c>
      <c r="H33" s="11">
        <f>SUM(H2:H32)</f>
        <v>340260752</v>
      </c>
      <c r="I33" s="11">
        <f>SUM(I2:I32)</f>
        <v>39159554</v>
      </c>
      <c r="J33" s="11">
        <f>SUM(J2:J32)</f>
        <v>301101198</v>
      </c>
      <c r="L33" s="146">
        <f t="shared" si="3"/>
        <v>788047801.96000004</v>
      </c>
      <c r="M33" s="147">
        <f t="shared" si="4"/>
        <v>0.72354453062798729</v>
      </c>
    </row>
    <row r="35" spans="2:13" x14ac:dyDescent="0.25">
      <c r="L35" s="2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C1" zoomScale="90" zoomScaleNormal="90" workbookViewId="0">
      <selection activeCell="N41" sqref="N41"/>
    </sheetView>
  </sheetViews>
  <sheetFormatPr baseColWidth="10" defaultRowHeight="15" x14ac:dyDescent="0.25"/>
  <cols>
    <col min="1" max="1" width="2.140625" bestFit="1" customWidth="1"/>
    <col min="2" max="2" width="26.7109375" customWidth="1"/>
    <col min="3" max="3" width="58.28515625" bestFit="1" customWidth="1"/>
    <col min="4" max="4" width="14.7109375" bestFit="1" customWidth="1"/>
    <col min="5" max="5" width="18.140625" bestFit="1" customWidth="1"/>
    <col min="6" max="6" width="13.5703125" customWidth="1"/>
    <col min="7" max="7" width="3.42578125" customWidth="1"/>
    <col min="8" max="8" width="12.5703125" bestFit="1" customWidth="1"/>
    <col min="9" max="9" width="10.7109375" bestFit="1" customWidth="1"/>
    <col min="10" max="10" width="13" bestFit="1" customWidth="1"/>
    <col min="11" max="11" width="2.5703125" customWidth="1"/>
    <col min="12" max="12" width="11.85546875" customWidth="1"/>
    <col min="13" max="13" width="9.85546875" bestFit="1" customWidth="1"/>
  </cols>
  <sheetData>
    <row r="1" spans="1:13" x14ac:dyDescent="0.25">
      <c r="B1" s="1" t="s">
        <v>38</v>
      </c>
    </row>
    <row r="2" spans="1:13" x14ac:dyDescent="0.25">
      <c r="E2" s="13"/>
    </row>
    <row r="3" spans="1:13" x14ac:dyDescent="0.25">
      <c r="B3" t="s">
        <v>39</v>
      </c>
      <c r="E3" s="13"/>
    </row>
    <row r="4" spans="1:13" ht="30" x14ac:dyDescent="0.25">
      <c r="D4" s="14" t="s">
        <v>40</v>
      </c>
      <c r="E4" s="15" t="s">
        <v>41</v>
      </c>
      <c r="F4" s="16" t="s">
        <v>36</v>
      </c>
      <c r="H4" s="54" t="s">
        <v>270</v>
      </c>
      <c r="I4" s="55" t="s">
        <v>271</v>
      </c>
      <c r="J4" s="148" t="s">
        <v>272</v>
      </c>
      <c r="K4" s="149"/>
      <c r="L4" s="148" t="s">
        <v>331</v>
      </c>
      <c r="M4" s="150" t="s">
        <v>332</v>
      </c>
    </row>
    <row r="5" spans="1:13" x14ac:dyDescent="0.25">
      <c r="C5" t="s">
        <v>36</v>
      </c>
      <c r="D5" s="17">
        <f>+D6+D59</f>
        <v>282670152</v>
      </c>
      <c r="E5" s="18">
        <f>+E21+E26+E29+E34+E45+E50+E53+E56+E62</f>
        <v>906300748</v>
      </c>
      <c r="F5" s="17">
        <f>+D5+E5</f>
        <v>1188970900</v>
      </c>
    </row>
    <row r="6" spans="1:13" x14ac:dyDescent="0.25">
      <c r="A6" s="19" t="s">
        <v>42</v>
      </c>
      <c r="B6" s="20" t="s">
        <v>43</v>
      </c>
      <c r="C6" s="20" t="s">
        <v>44</v>
      </c>
      <c r="D6" s="21">
        <f>+D7+D14</f>
        <v>95670152</v>
      </c>
      <c r="E6" s="13"/>
      <c r="F6" s="22"/>
    </row>
    <row r="7" spans="1:13" x14ac:dyDescent="0.25">
      <c r="A7" s="23"/>
      <c r="B7" s="20" t="s">
        <v>45</v>
      </c>
      <c r="C7" s="20" t="s">
        <v>46</v>
      </c>
      <c r="D7" s="24">
        <f>+D8+D10+D12</f>
        <v>32302165</v>
      </c>
      <c r="E7" s="13"/>
      <c r="F7" s="22"/>
    </row>
    <row r="8" spans="1:13" x14ac:dyDescent="0.25">
      <c r="A8" s="23"/>
      <c r="B8" s="25" t="s">
        <v>47</v>
      </c>
      <c r="C8" s="25" t="s">
        <v>48</v>
      </c>
      <c r="D8" s="26">
        <f>+D9</f>
        <v>14632000</v>
      </c>
      <c r="E8" s="13"/>
      <c r="F8" s="22"/>
    </row>
    <row r="9" spans="1:13" x14ac:dyDescent="0.25">
      <c r="A9" s="23"/>
      <c r="B9" s="27" t="s">
        <v>47</v>
      </c>
      <c r="C9" s="27" t="s">
        <v>48</v>
      </c>
      <c r="D9" s="28">
        <v>14632000</v>
      </c>
      <c r="E9" s="13"/>
      <c r="F9" s="22"/>
      <c r="H9" s="26">
        <v>0</v>
      </c>
      <c r="I9" s="26"/>
      <c r="J9" s="26">
        <f>+H9-I9</f>
        <v>0</v>
      </c>
      <c r="L9" s="17">
        <f>+D9-J9</f>
        <v>14632000</v>
      </c>
      <c r="M9" s="144">
        <v>1</v>
      </c>
    </row>
    <row r="10" spans="1:13" x14ac:dyDescent="0.25">
      <c r="A10" s="23"/>
      <c r="B10" s="25" t="s">
        <v>49</v>
      </c>
      <c r="C10" s="25" t="s">
        <v>50</v>
      </c>
      <c r="D10" s="29">
        <f>+D11</f>
        <v>17670165</v>
      </c>
      <c r="E10" s="13"/>
      <c r="F10" s="22"/>
    </row>
    <row r="11" spans="1:13" x14ac:dyDescent="0.25">
      <c r="A11" s="23"/>
      <c r="B11" s="27" t="s">
        <v>49</v>
      </c>
      <c r="C11" s="27" t="s">
        <v>50</v>
      </c>
      <c r="D11" s="28">
        <v>17670165</v>
      </c>
      <c r="E11" s="13"/>
      <c r="F11" s="22"/>
      <c r="H11" s="26">
        <v>0</v>
      </c>
      <c r="I11" s="26"/>
      <c r="J11" s="26">
        <f>+H11-I11</f>
        <v>0</v>
      </c>
      <c r="L11" s="17">
        <f>+D11-J11</f>
        <v>17670165</v>
      </c>
      <c r="M11" s="144">
        <v>1</v>
      </c>
    </row>
    <row r="12" spans="1:13" x14ac:dyDescent="0.25">
      <c r="A12" s="23"/>
      <c r="B12" s="25" t="s">
        <v>51</v>
      </c>
      <c r="C12" s="25" t="s">
        <v>52</v>
      </c>
      <c r="D12" s="29">
        <f>+D13</f>
        <v>0</v>
      </c>
      <c r="E12" s="13"/>
      <c r="F12" s="22"/>
    </row>
    <row r="13" spans="1:13" x14ac:dyDescent="0.25">
      <c r="A13" s="23"/>
      <c r="B13" s="25" t="s">
        <v>51</v>
      </c>
      <c r="C13" s="30" t="s">
        <v>53</v>
      </c>
      <c r="D13" s="29">
        <v>0</v>
      </c>
      <c r="E13" s="13"/>
      <c r="F13" s="22"/>
    </row>
    <row r="14" spans="1:13" x14ac:dyDescent="0.25">
      <c r="A14" s="23"/>
      <c r="B14" s="20" t="s">
        <v>54</v>
      </c>
      <c r="C14" s="20" t="s">
        <v>55</v>
      </c>
      <c r="D14" s="31">
        <f>+D15+D17+D19+D22+D24+D27+D30+D32+D35+D37+D39+D41+D43+D46+D48+D51+D54+D57+D58</f>
        <v>63367987</v>
      </c>
      <c r="E14" s="13"/>
      <c r="F14" s="22"/>
    </row>
    <row r="15" spans="1:13" x14ac:dyDescent="0.25">
      <c r="A15" s="23"/>
      <c r="B15" s="20" t="s">
        <v>56</v>
      </c>
      <c r="C15" s="20" t="s">
        <v>57</v>
      </c>
      <c r="D15" s="24">
        <f>+D16</f>
        <v>0</v>
      </c>
      <c r="E15" s="13"/>
      <c r="F15" s="22"/>
    </row>
    <row r="16" spans="1:13" x14ac:dyDescent="0.25">
      <c r="A16" s="23"/>
      <c r="B16" s="32" t="s">
        <v>56</v>
      </c>
      <c r="C16" s="32" t="s">
        <v>57</v>
      </c>
      <c r="D16" s="33">
        <v>0</v>
      </c>
      <c r="E16" s="13"/>
      <c r="F16" s="22"/>
      <c r="H16" s="26">
        <v>0</v>
      </c>
      <c r="I16" s="7"/>
      <c r="J16" s="26">
        <f>+H16-I16</f>
        <v>0</v>
      </c>
    </row>
    <row r="17" spans="1:13" x14ac:dyDescent="0.25">
      <c r="A17" s="23"/>
      <c r="B17" s="25" t="s">
        <v>58</v>
      </c>
      <c r="C17" s="25" t="s">
        <v>59</v>
      </c>
      <c r="D17" s="34">
        <f>+D18</f>
        <v>0</v>
      </c>
      <c r="E17" s="13"/>
      <c r="F17" s="22"/>
    </row>
    <row r="18" spans="1:13" x14ac:dyDescent="0.25">
      <c r="A18" s="23"/>
      <c r="B18" s="32" t="s">
        <v>58</v>
      </c>
      <c r="C18" s="32" t="s">
        <v>59</v>
      </c>
      <c r="D18" s="33">
        <v>0</v>
      </c>
      <c r="E18" s="13"/>
      <c r="F18" s="22"/>
      <c r="H18" s="26">
        <v>0</v>
      </c>
      <c r="I18" s="7"/>
      <c r="J18" s="26">
        <f>+H18-I18</f>
        <v>0</v>
      </c>
    </row>
    <row r="19" spans="1:13" x14ac:dyDescent="0.25">
      <c r="A19" s="23"/>
      <c r="B19" s="25" t="s">
        <v>60</v>
      </c>
      <c r="C19" s="25" t="s">
        <v>61</v>
      </c>
      <c r="D19" s="34">
        <f>+D20</f>
        <v>5367987</v>
      </c>
      <c r="E19" s="13"/>
      <c r="F19" s="22"/>
    </row>
    <row r="20" spans="1:13" x14ac:dyDescent="0.25">
      <c r="A20" s="23"/>
      <c r="B20" s="32" t="s">
        <v>60</v>
      </c>
      <c r="C20" s="32" t="s">
        <v>61</v>
      </c>
      <c r="D20" s="33">
        <v>5367987</v>
      </c>
      <c r="E20" s="13"/>
      <c r="H20" s="26">
        <v>0</v>
      </c>
      <c r="I20" s="7"/>
      <c r="J20" s="26">
        <f>+H20-I20</f>
        <v>0</v>
      </c>
      <c r="L20" s="17">
        <f>+D20-J20</f>
        <v>5367987</v>
      </c>
      <c r="M20" s="144">
        <v>1</v>
      </c>
    </row>
    <row r="21" spans="1:13" x14ac:dyDescent="0.25">
      <c r="A21" s="23"/>
      <c r="B21" s="35" t="s">
        <v>62</v>
      </c>
      <c r="C21" s="35" t="s">
        <v>63</v>
      </c>
      <c r="D21" s="36"/>
      <c r="E21" s="36">
        <v>32698583</v>
      </c>
      <c r="F21" s="26">
        <f>+E21+D20</f>
        <v>38066570</v>
      </c>
      <c r="H21" s="26">
        <v>0</v>
      </c>
      <c r="I21" s="7"/>
      <c r="J21" s="26">
        <f>+H21-I21</f>
        <v>0</v>
      </c>
      <c r="L21" s="17">
        <f>+E21+J21</f>
        <v>32698583</v>
      </c>
      <c r="M21" s="144">
        <v>1</v>
      </c>
    </row>
    <row r="22" spans="1:13" x14ac:dyDescent="0.25">
      <c r="A22" s="23"/>
      <c r="B22" s="25" t="s">
        <v>64</v>
      </c>
      <c r="C22" s="25" t="s">
        <v>65</v>
      </c>
      <c r="D22" s="34">
        <f>+D23</f>
        <v>5000000</v>
      </c>
      <c r="E22" s="13"/>
      <c r="F22" s="22"/>
    </row>
    <row r="23" spans="1:13" x14ac:dyDescent="0.25">
      <c r="A23" s="23"/>
      <c r="B23" s="32" t="s">
        <v>64</v>
      </c>
      <c r="C23" s="32" t="s">
        <v>65</v>
      </c>
      <c r="D23" s="33">
        <v>5000000</v>
      </c>
      <c r="E23" s="37">
        <v>0</v>
      </c>
      <c r="F23" s="26">
        <f>+D23+E23</f>
        <v>5000000</v>
      </c>
      <c r="H23" s="26">
        <v>5000000</v>
      </c>
      <c r="I23" s="7"/>
      <c r="J23" s="26">
        <f>+H23-I23</f>
        <v>5000000</v>
      </c>
      <c r="L23" s="17">
        <f>+D23-J23</f>
        <v>0</v>
      </c>
      <c r="M23" s="144">
        <v>0</v>
      </c>
    </row>
    <row r="24" spans="1:13" x14ac:dyDescent="0.25">
      <c r="A24" s="23"/>
      <c r="B24" s="25" t="s">
        <v>66</v>
      </c>
      <c r="C24" s="25" t="s">
        <v>67</v>
      </c>
      <c r="D24" s="34">
        <f>+D25</f>
        <v>3000000</v>
      </c>
      <c r="E24" s="13"/>
      <c r="F24" s="22"/>
    </row>
    <row r="25" spans="1:13" x14ac:dyDescent="0.25">
      <c r="A25" s="23"/>
      <c r="B25" s="32" t="s">
        <v>66</v>
      </c>
      <c r="C25" s="32" t="s">
        <v>67</v>
      </c>
      <c r="D25" s="33">
        <v>3000000</v>
      </c>
      <c r="E25" s="13"/>
      <c r="F25" s="22"/>
      <c r="H25" s="26">
        <v>0</v>
      </c>
      <c r="I25" s="7"/>
      <c r="J25" s="26">
        <f>+H25-I25</f>
        <v>0</v>
      </c>
      <c r="L25" s="17">
        <f>+D25-J25</f>
        <v>3000000</v>
      </c>
      <c r="M25" s="144">
        <v>1</v>
      </c>
    </row>
    <row r="26" spans="1:13" x14ac:dyDescent="0.25">
      <c r="A26" s="23"/>
      <c r="B26" s="35" t="s">
        <v>68</v>
      </c>
      <c r="C26" s="35" t="s">
        <v>69</v>
      </c>
      <c r="D26" s="36"/>
      <c r="E26" s="36">
        <v>7000000</v>
      </c>
      <c r="F26" s="26">
        <f>+E26+D25</f>
        <v>10000000</v>
      </c>
      <c r="H26" s="26">
        <v>7000000</v>
      </c>
      <c r="I26" s="7"/>
      <c r="J26" s="26">
        <f>+H26-I26</f>
        <v>7000000</v>
      </c>
      <c r="L26" s="17">
        <v>0</v>
      </c>
      <c r="M26" s="144">
        <f>+L26/E26</f>
        <v>0</v>
      </c>
    </row>
    <row r="27" spans="1:13" x14ac:dyDescent="0.25">
      <c r="A27" s="23"/>
      <c r="B27" s="25" t="s">
        <v>70</v>
      </c>
      <c r="C27" s="25" t="s">
        <v>71</v>
      </c>
      <c r="D27" s="34">
        <f>+D28</f>
        <v>3000000</v>
      </c>
      <c r="E27" s="13"/>
      <c r="F27" s="22"/>
    </row>
    <row r="28" spans="1:13" x14ac:dyDescent="0.25">
      <c r="A28" s="23"/>
      <c r="B28" s="32" t="s">
        <v>70</v>
      </c>
      <c r="C28" s="32" t="s">
        <v>71</v>
      </c>
      <c r="D28" s="33">
        <v>3000000</v>
      </c>
      <c r="E28" s="13"/>
      <c r="H28" s="26">
        <v>3000000</v>
      </c>
      <c r="I28" s="26">
        <v>3000000</v>
      </c>
      <c r="J28" s="26">
        <f>+H28-I28</f>
        <v>0</v>
      </c>
      <c r="L28" s="17">
        <f>+D28-J28</f>
        <v>3000000</v>
      </c>
      <c r="M28" s="144">
        <v>1</v>
      </c>
    </row>
    <row r="29" spans="1:13" x14ac:dyDescent="0.25">
      <c r="A29" s="23"/>
      <c r="B29" s="35" t="s">
        <v>72</v>
      </c>
      <c r="C29" s="35" t="s">
        <v>73</v>
      </c>
      <c r="D29" s="36"/>
      <c r="E29" s="36">
        <v>2000000</v>
      </c>
      <c r="F29" s="26">
        <f>+D28+E29</f>
        <v>5000000</v>
      </c>
      <c r="H29" s="26">
        <v>2000000</v>
      </c>
      <c r="I29" s="26">
        <v>500000</v>
      </c>
      <c r="J29" s="26">
        <f>+H29-I29</f>
        <v>1500000</v>
      </c>
      <c r="L29" s="17">
        <f>+E29-J29</f>
        <v>500000</v>
      </c>
      <c r="M29" s="144">
        <v>0.25</v>
      </c>
    </row>
    <row r="30" spans="1:13" x14ac:dyDescent="0.25">
      <c r="A30" s="23"/>
      <c r="B30" s="25" t="s">
        <v>74</v>
      </c>
      <c r="C30" s="25" t="s">
        <v>75</v>
      </c>
      <c r="D30" s="34">
        <f>+D31</f>
        <v>0</v>
      </c>
      <c r="E30" s="13"/>
      <c r="F30" s="22"/>
    </row>
    <row r="31" spans="1:13" x14ac:dyDescent="0.25">
      <c r="A31" s="23"/>
      <c r="B31" s="32" t="s">
        <v>74</v>
      </c>
      <c r="C31" s="32" t="s">
        <v>75</v>
      </c>
      <c r="D31" s="33">
        <v>0</v>
      </c>
      <c r="E31" s="13"/>
      <c r="F31" s="22"/>
      <c r="H31" s="26">
        <v>0</v>
      </c>
      <c r="I31" s="7"/>
      <c r="J31" s="26">
        <f>+H31-I31</f>
        <v>0</v>
      </c>
    </row>
    <row r="32" spans="1:13" x14ac:dyDescent="0.25">
      <c r="A32" s="23"/>
      <c r="B32" s="25" t="s">
        <v>76</v>
      </c>
      <c r="C32" s="25" t="s">
        <v>77</v>
      </c>
      <c r="D32" s="34">
        <f>+D33</f>
        <v>6000000</v>
      </c>
      <c r="E32" s="13"/>
      <c r="F32" s="22"/>
    </row>
    <row r="33" spans="1:13" x14ac:dyDescent="0.25">
      <c r="A33" s="23"/>
      <c r="B33" s="32" t="s">
        <v>76</v>
      </c>
      <c r="C33" s="32" t="s">
        <v>77</v>
      </c>
      <c r="D33" s="33">
        <v>6000000</v>
      </c>
      <c r="E33" s="13"/>
      <c r="H33" s="26">
        <v>6000000</v>
      </c>
      <c r="I33" s="7"/>
      <c r="J33" s="26">
        <v>6000000</v>
      </c>
      <c r="L33" s="17">
        <f>+D33-J33</f>
        <v>0</v>
      </c>
      <c r="M33" s="144">
        <v>0</v>
      </c>
    </row>
    <row r="34" spans="1:13" x14ac:dyDescent="0.25">
      <c r="A34" s="23"/>
      <c r="B34" s="35" t="s">
        <v>78</v>
      </c>
      <c r="C34" s="35" t="s">
        <v>79</v>
      </c>
      <c r="D34" s="36"/>
      <c r="E34" s="36">
        <v>150000000</v>
      </c>
      <c r="F34" s="26">
        <f>+E34+D33</f>
        <v>156000000</v>
      </c>
      <c r="H34" s="26">
        <f>38000000+5060000</f>
        <v>43060000</v>
      </c>
      <c r="I34" s="7"/>
      <c r="J34" s="26">
        <f>+H34-I34</f>
        <v>43060000</v>
      </c>
      <c r="L34" s="17">
        <f>+E34-J34</f>
        <v>106940000</v>
      </c>
      <c r="M34" s="153">
        <f>+L34/E34</f>
        <v>0.71293333333333331</v>
      </c>
    </row>
    <row r="35" spans="1:13" x14ac:dyDescent="0.25">
      <c r="A35" s="23"/>
      <c r="B35" s="25" t="s">
        <v>80</v>
      </c>
      <c r="C35" s="25" t="s">
        <v>81</v>
      </c>
      <c r="D35" s="34">
        <f>+D36</f>
        <v>0</v>
      </c>
      <c r="E35" s="13"/>
      <c r="F35" s="22"/>
    </row>
    <row r="36" spans="1:13" x14ac:dyDescent="0.25">
      <c r="A36" s="23"/>
      <c r="B36" s="32" t="s">
        <v>80</v>
      </c>
      <c r="C36" s="32" t="s">
        <v>81</v>
      </c>
      <c r="D36" s="33">
        <v>0</v>
      </c>
      <c r="E36" s="13"/>
      <c r="F36" s="22"/>
      <c r="H36" s="26">
        <v>0</v>
      </c>
      <c r="I36" s="7"/>
      <c r="J36" s="26">
        <f>+H36-I36</f>
        <v>0</v>
      </c>
    </row>
    <row r="37" spans="1:13" x14ac:dyDescent="0.25">
      <c r="A37" s="23"/>
      <c r="B37" s="25" t="s">
        <v>82</v>
      </c>
      <c r="C37" s="25" t="s">
        <v>83</v>
      </c>
      <c r="D37" s="34">
        <f>+D38</f>
        <v>0</v>
      </c>
      <c r="E37" s="13"/>
      <c r="F37" s="22"/>
    </row>
    <row r="38" spans="1:13" x14ac:dyDescent="0.25">
      <c r="A38" s="23"/>
      <c r="B38" s="32" t="s">
        <v>82</v>
      </c>
      <c r="C38" s="32" t="s">
        <v>83</v>
      </c>
      <c r="D38" s="33">
        <v>0</v>
      </c>
      <c r="E38" s="13"/>
      <c r="F38" s="22"/>
      <c r="H38" s="26">
        <v>0</v>
      </c>
      <c r="I38" s="7"/>
      <c r="J38" s="26">
        <f>+H38-I38</f>
        <v>0</v>
      </c>
    </row>
    <row r="39" spans="1:13" x14ac:dyDescent="0.25">
      <c r="A39" s="23"/>
      <c r="B39" s="25" t="s">
        <v>84</v>
      </c>
      <c r="C39" s="25" t="s">
        <v>85</v>
      </c>
      <c r="D39" s="34">
        <f>+D40</f>
        <v>0</v>
      </c>
      <c r="E39" s="13"/>
      <c r="F39" s="22"/>
    </row>
    <row r="40" spans="1:13" x14ac:dyDescent="0.25">
      <c r="A40" s="23"/>
      <c r="B40" s="32" t="s">
        <v>84</v>
      </c>
      <c r="C40" s="32" t="s">
        <v>85</v>
      </c>
      <c r="D40" s="33">
        <v>0</v>
      </c>
      <c r="E40" s="13"/>
      <c r="F40" s="22"/>
      <c r="H40" s="26">
        <v>0</v>
      </c>
      <c r="I40" s="7"/>
      <c r="J40" s="26">
        <f>+H40-I40</f>
        <v>0</v>
      </c>
    </row>
    <row r="41" spans="1:13" x14ac:dyDescent="0.25">
      <c r="A41" s="23"/>
      <c r="B41" s="25" t="s">
        <v>86</v>
      </c>
      <c r="C41" s="25" t="s">
        <v>87</v>
      </c>
      <c r="D41" s="34">
        <f>+D42</f>
        <v>0</v>
      </c>
      <c r="E41" s="13"/>
      <c r="F41" s="22"/>
    </row>
    <row r="42" spans="1:13" x14ac:dyDescent="0.25">
      <c r="A42" s="23"/>
      <c r="B42" s="32" t="s">
        <v>86</v>
      </c>
      <c r="C42" s="32" t="s">
        <v>87</v>
      </c>
      <c r="D42" s="33">
        <v>0</v>
      </c>
      <c r="E42" s="13"/>
      <c r="F42" s="22"/>
      <c r="H42" s="26">
        <v>0</v>
      </c>
      <c r="I42" s="7"/>
      <c r="J42" s="26">
        <f>+H42-I42</f>
        <v>0</v>
      </c>
    </row>
    <row r="43" spans="1:13" x14ac:dyDescent="0.25">
      <c r="A43" s="23"/>
      <c r="B43" s="25" t="s">
        <v>88</v>
      </c>
      <c r="C43" s="25" t="s">
        <v>89</v>
      </c>
      <c r="D43" s="34">
        <f>+D44</f>
        <v>17468000</v>
      </c>
      <c r="E43" s="13"/>
      <c r="F43" s="22"/>
    </row>
    <row r="44" spans="1:13" x14ac:dyDescent="0.25">
      <c r="A44" s="23"/>
      <c r="B44" s="32" t="s">
        <v>88</v>
      </c>
      <c r="C44" s="32" t="s">
        <v>89</v>
      </c>
      <c r="D44" s="33">
        <v>17468000</v>
      </c>
      <c r="E44" s="13"/>
      <c r="H44" s="26">
        <v>17468000</v>
      </c>
      <c r="I44" s="7"/>
      <c r="J44" s="26">
        <f>+H44-I44</f>
        <v>17468000</v>
      </c>
      <c r="L44" s="17">
        <f t="shared" ref="L44" si="0">+D44-J44</f>
        <v>0</v>
      </c>
      <c r="M44" s="144">
        <v>0</v>
      </c>
    </row>
    <row r="45" spans="1:13" x14ac:dyDescent="0.25">
      <c r="A45" s="23"/>
      <c r="B45" s="35" t="s">
        <v>90</v>
      </c>
      <c r="C45" s="35" t="s">
        <v>91</v>
      </c>
      <c r="D45" s="36"/>
      <c r="E45" s="36">
        <v>128932000</v>
      </c>
      <c r="F45" s="26">
        <f>+D44+E45</f>
        <v>146400000</v>
      </c>
      <c r="H45" s="26">
        <v>128932000</v>
      </c>
      <c r="I45" s="7"/>
      <c r="J45" s="26">
        <f>+H45-I45</f>
        <v>128932000</v>
      </c>
      <c r="L45" s="17">
        <f>+E45-J45</f>
        <v>0</v>
      </c>
      <c r="M45" s="144">
        <v>0</v>
      </c>
    </row>
    <row r="46" spans="1:13" x14ac:dyDescent="0.25">
      <c r="A46" s="23"/>
      <c r="B46" s="25" t="s">
        <v>92</v>
      </c>
      <c r="C46" s="25" t="s">
        <v>93</v>
      </c>
      <c r="D46" s="34">
        <f>+D47</f>
        <v>0</v>
      </c>
      <c r="E46" s="13"/>
      <c r="F46" s="22"/>
      <c r="M46" s="154"/>
    </row>
    <row r="47" spans="1:13" x14ac:dyDescent="0.25">
      <c r="A47" s="23"/>
      <c r="B47" s="32" t="s">
        <v>92</v>
      </c>
      <c r="C47" s="32" t="s">
        <v>93</v>
      </c>
      <c r="D47" s="33">
        <v>0</v>
      </c>
      <c r="E47" s="13"/>
      <c r="F47" s="22"/>
      <c r="H47" s="26">
        <v>0</v>
      </c>
      <c r="I47" s="7"/>
      <c r="J47" s="26">
        <f>+H47-I47</f>
        <v>0</v>
      </c>
    </row>
    <row r="48" spans="1:13" x14ac:dyDescent="0.25">
      <c r="A48" s="23"/>
      <c r="B48" s="25" t="s">
        <v>94</v>
      </c>
      <c r="C48" s="25" t="s">
        <v>95</v>
      </c>
      <c r="D48" s="34">
        <f>+D49</f>
        <v>0</v>
      </c>
      <c r="E48" s="13"/>
      <c r="F48" s="22"/>
    </row>
    <row r="49" spans="1:13" x14ac:dyDescent="0.25">
      <c r="A49" s="23"/>
      <c r="B49" s="32" t="s">
        <v>94</v>
      </c>
      <c r="C49" s="32" t="s">
        <v>95</v>
      </c>
      <c r="D49" s="33">
        <v>0</v>
      </c>
      <c r="E49" s="13"/>
      <c r="F49" s="22"/>
      <c r="H49" s="26">
        <v>0</v>
      </c>
      <c r="I49" s="7"/>
      <c r="J49" s="26">
        <f>+H49-I49</f>
        <v>0</v>
      </c>
    </row>
    <row r="50" spans="1:13" x14ac:dyDescent="0.25">
      <c r="A50" s="23"/>
      <c r="B50" s="35" t="s">
        <v>51</v>
      </c>
      <c r="C50" s="35" t="s">
        <v>96</v>
      </c>
      <c r="D50" s="36"/>
      <c r="E50" s="36">
        <v>400000000</v>
      </c>
      <c r="F50" s="26">
        <f>+D50+E50</f>
        <v>400000000</v>
      </c>
      <c r="H50" s="26">
        <v>0</v>
      </c>
      <c r="I50" s="7"/>
      <c r="J50" s="26">
        <f>+H50-I50</f>
        <v>0</v>
      </c>
      <c r="L50" s="17">
        <f>+E50-J50</f>
        <v>400000000</v>
      </c>
      <c r="M50" s="153">
        <f>+L50/F50</f>
        <v>1</v>
      </c>
    </row>
    <row r="51" spans="1:13" x14ac:dyDescent="0.25">
      <c r="A51" s="23"/>
      <c r="B51" s="25" t="s">
        <v>97</v>
      </c>
      <c r="C51" s="25" t="s">
        <v>98</v>
      </c>
      <c r="D51" s="29">
        <f>+D52</f>
        <v>2000000</v>
      </c>
      <c r="E51" s="13"/>
      <c r="F51" s="22"/>
    </row>
    <row r="52" spans="1:13" x14ac:dyDescent="0.25">
      <c r="A52" s="23"/>
      <c r="B52" s="32" t="s">
        <v>97</v>
      </c>
      <c r="C52" s="32" t="s">
        <v>98</v>
      </c>
      <c r="D52" s="33">
        <v>2000000</v>
      </c>
      <c r="E52" s="13"/>
      <c r="H52" s="26">
        <v>2000000</v>
      </c>
      <c r="I52" s="7"/>
      <c r="J52" s="26">
        <f>+H52-I52</f>
        <v>2000000</v>
      </c>
      <c r="L52" s="17">
        <f>+D51-J52</f>
        <v>0</v>
      </c>
      <c r="M52" s="144">
        <v>0</v>
      </c>
    </row>
    <row r="53" spans="1:13" x14ac:dyDescent="0.25">
      <c r="A53" s="23"/>
      <c r="B53" s="35" t="s">
        <v>99</v>
      </c>
      <c r="C53" s="35" t="s">
        <v>100</v>
      </c>
      <c r="D53" s="36"/>
      <c r="E53" s="36">
        <v>10000000</v>
      </c>
      <c r="F53" s="26">
        <f>+E53+D52</f>
        <v>12000000</v>
      </c>
      <c r="H53" s="26">
        <v>10000000</v>
      </c>
      <c r="I53" s="7"/>
      <c r="J53" s="26">
        <f>+H53-I53</f>
        <v>10000000</v>
      </c>
      <c r="L53" s="17">
        <f>+E53-J53</f>
        <v>0</v>
      </c>
      <c r="M53" s="144">
        <v>0</v>
      </c>
    </row>
    <row r="54" spans="1:13" x14ac:dyDescent="0.25">
      <c r="A54" s="23"/>
      <c r="B54" s="25" t="s">
        <v>101</v>
      </c>
      <c r="C54" s="25" t="s">
        <v>102</v>
      </c>
      <c r="D54" s="29">
        <f>+D55</f>
        <v>21532000</v>
      </c>
      <c r="E54" s="13"/>
      <c r="F54" s="22"/>
    </row>
    <row r="55" spans="1:13" x14ac:dyDescent="0.25">
      <c r="A55" s="23"/>
      <c r="B55" s="32" t="s">
        <v>101</v>
      </c>
      <c r="C55" s="32" t="s">
        <v>102</v>
      </c>
      <c r="D55" s="33">
        <v>21532000</v>
      </c>
      <c r="E55" s="13"/>
      <c r="F55" s="22"/>
      <c r="H55" s="26">
        <v>0</v>
      </c>
      <c r="I55" s="7"/>
      <c r="J55" s="26">
        <f>+H55-I55</f>
        <v>0</v>
      </c>
      <c r="L55" s="17">
        <f>+D54-J55</f>
        <v>21532000</v>
      </c>
      <c r="M55" s="153">
        <f>+L55/D55</f>
        <v>1</v>
      </c>
    </row>
    <row r="56" spans="1:13" x14ac:dyDescent="0.25">
      <c r="A56" s="23"/>
      <c r="B56" s="35" t="s">
        <v>103</v>
      </c>
      <c r="C56" s="35" t="s">
        <v>104</v>
      </c>
      <c r="D56" s="36"/>
      <c r="E56" s="36">
        <v>127670165</v>
      </c>
      <c r="F56" s="26">
        <f>+E56+D55</f>
        <v>149202165</v>
      </c>
      <c r="H56" s="26">
        <v>0</v>
      </c>
      <c r="I56" s="7"/>
      <c r="J56" s="26">
        <f>+H56-I56</f>
        <v>0</v>
      </c>
      <c r="L56" s="17">
        <f>+E56-J56</f>
        <v>127670165</v>
      </c>
      <c r="M56" s="153">
        <f>+L56/E56</f>
        <v>1</v>
      </c>
    </row>
    <row r="57" spans="1:13" x14ac:dyDescent="0.25">
      <c r="A57" s="23"/>
      <c r="B57" s="25" t="s">
        <v>78</v>
      </c>
      <c r="C57" s="25" t="s">
        <v>105</v>
      </c>
      <c r="D57" s="29">
        <v>0</v>
      </c>
      <c r="E57" s="13"/>
      <c r="F57" s="22"/>
    </row>
    <row r="58" spans="1:13" x14ac:dyDescent="0.25">
      <c r="A58" s="23"/>
      <c r="B58" s="25" t="s">
        <v>106</v>
      </c>
      <c r="C58" s="25" t="s">
        <v>107</v>
      </c>
      <c r="D58" s="29">
        <v>0</v>
      </c>
      <c r="E58" s="13"/>
      <c r="F58" s="22"/>
      <c r="H58" s="26">
        <v>0</v>
      </c>
      <c r="I58" s="7"/>
      <c r="J58" s="26">
        <f>+H58-I58</f>
        <v>0</v>
      </c>
    </row>
    <row r="59" spans="1:13" x14ac:dyDescent="0.25">
      <c r="B59" s="25" t="s">
        <v>108</v>
      </c>
      <c r="C59" s="25" t="s">
        <v>109</v>
      </c>
      <c r="D59" s="34">
        <f>+D60</f>
        <v>187000000</v>
      </c>
      <c r="E59" s="13"/>
      <c r="F59" s="22"/>
    </row>
    <row r="60" spans="1:13" x14ac:dyDescent="0.25">
      <c r="B60" s="25" t="s">
        <v>110</v>
      </c>
      <c r="C60" s="25" t="s">
        <v>111</v>
      </c>
      <c r="D60" s="34">
        <f>+D61</f>
        <v>187000000</v>
      </c>
      <c r="E60" s="13"/>
      <c r="F60" s="22"/>
    </row>
    <row r="61" spans="1:13" x14ac:dyDescent="0.25">
      <c r="B61" s="32" t="s">
        <v>110</v>
      </c>
      <c r="C61" s="32" t="s">
        <v>111</v>
      </c>
      <c r="D61" s="33">
        <v>187000000</v>
      </c>
      <c r="E61" s="13"/>
      <c r="H61" s="26">
        <v>6530000</v>
      </c>
      <c r="I61" s="7"/>
      <c r="J61" s="26">
        <f>+H61-I61</f>
        <v>6530000</v>
      </c>
      <c r="L61" s="17">
        <f>+D61-J61</f>
        <v>180470000</v>
      </c>
      <c r="M61" s="153">
        <f>+L61/D61</f>
        <v>0.96508021390374332</v>
      </c>
    </row>
    <row r="62" spans="1:13" x14ac:dyDescent="0.25">
      <c r="B62" s="35" t="s">
        <v>112</v>
      </c>
      <c r="C62" s="35" t="s">
        <v>113</v>
      </c>
      <c r="D62" s="35"/>
      <c r="E62" s="36">
        <v>48000000</v>
      </c>
      <c r="F62" s="26">
        <f>+E62+D61</f>
        <v>235000000</v>
      </c>
      <c r="H62" s="26">
        <v>17250000</v>
      </c>
      <c r="I62" s="7"/>
      <c r="J62" s="26">
        <f>+H62-I62</f>
        <v>17250000</v>
      </c>
      <c r="L62" s="17">
        <f>+E62-J62</f>
        <v>30750000</v>
      </c>
      <c r="M62" s="153">
        <f>+L62/E62</f>
        <v>0.640625</v>
      </c>
    </row>
  </sheetData>
  <pageMargins left="0.51181102362204722" right="0.51181102362204722" top="0.35433070866141736" bottom="0.35433070866141736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opLeftCell="C1" zoomScale="80" zoomScaleNormal="80" workbookViewId="0">
      <selection activeCell="M10" sqref="M10"/>
    </sheetView>
  </sheetViews>
  <sheetFormatPr baseColWidth="10" defaultRowHeight="15" x14ac:dyDescent="0.25"/>
  <cols>
    <col min="1" max="1" width="12.28515625" customWidth="1"/>
    <col min="2" max="2" width="27.140625" bestFit="1" customWidth="1"/>
    <col min="3" max="3" width="65" bestFit="1" customWidth="1"/>
    <col min="4" max="4" width="14.7109375" bestFit="1" customWidth="1"/>
    <col min="5" max="5" width="12" style="23" bestFit="1" customWidth="1"/>
    <col min="6" max="6" width="2" bestFit="1" customWidth="1"/>
    <col min="7" max="7" width="13.5703125" bestFit="1" customWidth="1"/>
    <col min="8" max="8" width="3" style="23" customWidth="1"/>
    <col min="9" max="9" width="16.5703125" bestFit="1" customWidth="1"/>
    <col min="10" max="10" width="13.5703125" bestFit="1" customWidth="1"/>
    <col min="11" max="11" width="3.140625" customWidth="1"/>
    <col min="12" max="12" width="12.5703125" bestFit="1" customWidth="1"/>
    <col min="14" max="14" width="12.5703125" bestFit="1" customWidth="1"/>
    <col min="15" max="15" width="3.42578125" customWidth="1"/>
    <col min="16" max="16" width="12" bestFit="1" customWidth="1"/>
    <col min="17" max="17" width="10.140625" bestFit="1" customWidth="1"/>
  </cols>
  <sheetData>
    <row r="1" spans="1:17" x14ac:dyDescent="0.25">
      <c r="B1" t="s">
        <v>114</v>
      </c>
    </row>
    <row r="2" spans="1:17" ht="6.75" customHeight="1" x14ac:dyDescent="0.25"/>
    <row r="3" spans="1:17" ht="34.5" customHeight="1" x14ac:dyDescent="0.25">
      <c r="D3" s="38" t="s">
        <v>115</v>
      </c>
      <c r="E3" s="39"/>
      <c r="I3" s="38" t="s">
        <v>116</v>
      </c>
      <c r="J3" s="40" t="s">
        <v>36</v>
      </c>
      <c r="L3" s="54" t="s">
        <v>270</v>
      </c>
      <c r="M3" s="55" t="s">
        <v>271</v>
      </c>
      <c r="N3" s="54" t="s">
        <v>272</v>
      </c>
      <c r="P3" s="148" t="s">
        <v>333</v>
      </c>
      <c r="Q3" s="148" t="s">
        <v>334</v>
      </c>
    </row>
    <row r="4" spans="1:17" x14ac:dyDescent="0.25">
      <c r="A4" s="19" t="s">
        <v>42</v>
      </c>
      <c r="B4" s="20" t="s">
        <v>117</v>
      </c>
      <c r="C4" s="20" t="s">
        <v>118</v>
      </c>
      <c r="D4" s="41">
        <f>+D5+D11+D27+D37+D64+D68+D49</f>
        <v>1833417915</v>
      </c>
      <c r="E4" s="39"/>
      <c r="G4" s="22">
        <f>+G7+G11+G27+G37+G51+G71+G66+G62+G60+G58</f>
        <v>1833417915</v>
      </c>
      <c r="I4" s="26">
        <f>SUM(I30:I63)</f>
        <v>160000000</v>
      </c>
      <c r="J4" s="22">
        <f>+J7+J11+J27+J37+J51+J71+J66+J62+J60+J58</f>
        <v>1993417915</v>
      </c>
    </row>
    <row r="5" spans="1:17" x14ac:dyDescent="0.25">
      <c r="B5" s="20" t="s">
        <v>119</v>
      </c>
      <c r="C5" s="20" t="s">
        <v>120</v>
      </c>
      <c r="D5" s="24">
        <f>+D6</f>
        <v>685000000</v>
      </c>
      <c r="E5" s="39"/>
    </row>
    <row r="6" spans="1:17" x14ac:dyDescent="0.25">
      <c r="B6" s="20" t="s">
        <v>121</v>
      </c>
      <c r="C6" s="20" t="s">
        <v>122</v>
      </c>
      <c r="D6" s="24">
        <f>+D7</f>
        <v>685000000</v>
      </c>
      <c r="E6" s="39"/>
    </row>
    <row r="7" spans="1:17" x14ac:dyDescent="0.25">
      <c r="B7" s="32" t="s">
        <v>121</v>
      </c>
      <c r="C7" s="32" t="s">
        <v>122</v>
      </c>
      <c r="D7" s="33">
        <v>685000000</v>
      </c>
      <c r="E7" s="39"/>
      <c r="G7" s="42">
        <v>685000000</v>
      </c>
      <c r="H7" s="19"/>
      <c r="I7" s="26"/>
      <c r="J7" s="26">
        <f>+G7+I7</f>
        <v>685000000</v>
      </c>
      <c r="L7" s="26">
        <v>6363925</v>
      </c>
      <c r="M7" s="7">
        <v>0</v>
      </c>
      <c r="N7" s="56">
        <f>+L7-M7</f>
        <v>6363925</v>
      </c>
      <c r="P7" s="17">
        <f>+J7-N7</f>
        <v>678636075</v>
      </c>
      <c r="Q7" s="144">
        <f>+P7/J7</f>
        <v>0.99070959854014595</v>
      </c>
    </row>
    <row r="8" spans="1:17" x14ac:dyDescent="0.25">
      <c r="A8" s="23"/>
      <c r="B8" s="25" t="s">
        <v>123</v>
      </c>
      <c r="C8" s="25" t="s">
        <v>124</v>
      </c>
      <c r="D8" s="29">
        <v>0</v>
      </c>
      <c r="E8" s="39"/>
      <c r="J8" s="26">
        <v>0</v>
      </c>
    </row>
    <row r="9" spans="1:17" x14ac:dyDescent="0.25">
      <c r="A9" s="23"/>
      <c r="B9" s="20" t="s">
        <v>125</v>
      </c>
      <c r="C9" s="20" t="s">
        <v>126</v>
      </c>
      <c r="D9" s="31"/>
      <c r="E9" s="39"/>
      <c r="I9" s="26"/>
      <c r="J9" s="26">
        <f t="shared" ref="J9:J71" si="0">+G9+I9</f>
        <v>0</v>
      </c>
    </row>
    <row r="10" spans="1:17" x14ac:dyDescent="0.25">
      <c r="A10" s="23"/>
      <c r="B10" s="20" t="s">
        <v>127</v>
      </c>
      <c r="C10" s="20" t="s">
        <v>128</v>
      </c>
      <c r="D10" s="31"/>
      <c r="E10" s="39"/>
      <c r="I10" s="26"/>
      <c r="J10" s="26">
        <f t="shared" si="0"/>
        <v>0</v>
      </c>
    </row>
    <row r="11" spans="1:17" x14ac:dyDescent="0.25">
      <c r="A11" s="23"/>
      <c r="B11" s="20" t="s">
        <v>129</v>
      </c>
      <c r="C11" s="20" t="s">
        <v>130</v>
      </c>
      <c r="D11" s="31">
        <f>+D12+D14+D16+D18+D20+D22</f>
        <v>153468244</v>
      </c>
      <c r="E11" s="39"/>
      <c r="G11" s="31">
        <f>SUM(G13:G26)</f>
        <v>153468244</v>
      </c>
      <c r="I11" s="26"/>
      <c r="J11" s="26">
        <f t="shared" si="0"/>
        <v>153468244</v>
      </c>
    </row>
    <row r="12" spans="1:17" x14ac:dyDescent="0.25">
      <c r="A12" s="23"/>
      <c r="B12" s="20" t="s">
        <v>131</v>
      </c>
      <c r="C12" s="20" t="s">
        <v>132</v>
      </c>
      <c r="D12" s="24">
        <f>+D13</f>
        <v>87405000</v>
      </c>
      <c r="E12" s="39"/>
      <c r="I12" s="26"/>
      <c r="J12" s="26">
        <f t="shared" si="0"/>
        <v>0</v>
      </c>
    </row>
    <row r="13" spans="1:17" x14ac:dyDescent="0.25">
      <c r="A13" s="23"/>
      <c r="B13" s="32" t="s">
        <v>131</v>
      </c>
      <c r="C13" s="32" t="s">
        <v>132</v>
      </c>
      <c r="D13" s="39">
        <v>87405000</v>
      </c>
      <c r="E13" s="29">
        <v>12555000</v>
      </c>
      <c r="F13" t="s">
        <v>133</v>
      </c>
      <c r="G13" s="43">
        <f>+D13-E13</f>
        <v>74850000</v>
      </c>
      <c r="H13" s="19"/>
      <c r="I13" s="26"/>
      <c r="J13" s="26">
        <f t="shared" si="0"/>
        <v>74850000</v>
      </c>
      <c r="L13" s="26">
        <v>74850000</v>
      </c>
      <c r="M13" s="7">
        <v>0</v>
      </c>
      <c r="N13" s="56">
        <f>+L13-M13</f>
        <v>74850000</v>
      </c>
      <c r="P13" s="17">
        <f>+J13-N13</f>
        <v>0</v>
      </c>
      <c r="Q13" s="144">
        <f>+P13/J13</f>
        <v>0</v>
      </c>
    </row>
    <row r="14" spans="1:17" x14ac:dyDescent="0.25">
      <c r="A14" s="23"/>
      <c r="B14" s="20" t="s">
        <v>134</v>
      </c>
      <c r="C14" s="20" t="s">
        <v>135</v>
      </c>
      <c r="D14" s="34">
        <f>+D15</f>
        <v>25000000</v>
      </c>
      <c r="E14" s="39"/>
      <c r="G14" s="26"/>
      <c r="I14" s="26"/>
      <c r="J14" s="26">
        <f t="shared" si="0"/>
        <v>0</v>
      </c>
    </row>
    <row r="15" spans="1:17" x14ac:dyDescent="0.25">
      <c r="A15" s="23"/>
      <c r="B15" s="32" t="s">
        <v>134</v>
      </c>
      <c r="C15" s="32" t="s">
        <v>135</v>
      </c>
      <c r="D15" s="39">
        <v>25000000</v>
      </c>
      <c r="E15" s="29">
        <v>25000000</v>
      </c>
      <c r="F15" t="s">
        <v>133</v>
      </c>
      <c r="G15" s="43">
        <f>+D15-E15</f>
        <v>0</v>
      </c>
      <c r="I15" s="26"/>
      <c r="J15" s="26">
        <f t="shared" si="0"/>
        <v>0</v>
      </c>
      <c r="L15" s="7">
        <v>0</v>
      </c>
      <c r="M15" s="7">
        <v>0</v>
      </c>
      <c r="N15" s="17">
        <f>+L15-M15</f>
        <v>0</v>
      </c>
      <c r="P15" s="17">
        <f>+J15-N15</f>
        <v>0</v>
      </c>
      <c r="Q15" s="144">
        <v>0</v>
      </c>
    </row>
    <row r="16" spans="1:17" x14ac:dyDescent="0.25">
      <c r="A16" s="23"/>
      <c r="B16" s="20" t="s">
        <v>136</v>
      </c>
      <c r="C16" s="20" t="s">
        <v>137</v>
      </c>
      <c r="D16" s="24">
        <f>+D17</f>
        <v>10295000</v>
      </c>
      <c r="E16" s="39"/>
      <c r="G16" s="26"/>
      <c r="I16" s="26"/>
      <c r="J16" s="26">
        <f t="shared" si="0"/>
        <v>0</v>
      </c>
    </row>
    <row r="17" spans="1:17" x14ac:dyDescent="0.25">
      <c r="A17" s="23"/>
      <c r="B17" s="32" t="s">
        <v>136</v>
      </c>
      <c r="C17" s="32" t="s">
        <v>137</v>
      </c>
      <c r="D17" s="44">
        <v>10295000</v>
      </c>
      <c r="E17" s="29">
        <v>10295000</v>
      </c>
      <c r="F17" t="s">
        <v>133</v>
      </c>
      <c r="G17" s="43">
        <f>+D17-E17</f>
        <v>0</v>
      </c>
      <c r="I17" s="26"/>
      <c r="J17" s="26">
        <f t="shared" si="0"/>
        <v>0</v>
      </c>
      <c r="L17" s="7">
        <v>0</v>
      </c>
      <c r="M17" s="7">
        <v>0</v>
      </c>
      <c r="N17" s="17">
        <f>+L17-M17</f>
        <v>0</v>
      </c>
      <c r="P17" s="7">
        <v>0</v>
      </c>
      <c r="Q17" s="144">
        <v>0</v>
      </c>
    </row>
    <row r="18" spans="1:17" x14ac:dyDescent="0.25">
      <c r="A18" s="23"/>
      <c r="B18" s="20" t="s">
        <v>138</v>
      </c>
      <c r="C18" s="20" t="s">
        <v>139</v>
      </c>
      <c r="D18" s="24">
        <f>+D19</f>
        <v>10000000</v>
      </c>
      <c r="E18" s="39"/>
      <c r="G18" s="26"/>
      <c r="I18" s="26"/>
      <c r="J18" s="26">
        <f t="shared" si="0"/>
        <v>0</v>
      </c>
      <c r="N18" s="22"/>
    </row>
    <row r="19" spans="1:17" x14ac:dyDescent="0.25">
      <c r="A19" s="23"/>
      <c r="B19" s="32" t="s">
        <v>138</v>
      </c>
      <c r="C19" s="32" t="s">
        <v>139</v>
      </c>
      <c r="D19" s="39">
        <v>10000000</v>
      </c>
      <c r="E19" s="29">
        <v>3770000</v>
      </c>
      <c r="F19" t="s">
        <v>140</v>
      </c>
      <c r="G19" s="43">
        <f>+D19+E19</f>
        <v>13770000</v>
      </c>
      <c r="H19" s="19"/>
      <c r="I19" s="26"/>
      <c r="J19" s="26">
        <f t="shared" si="0"/>
        <v>13770000</v>
      </c>
      <c r="L19" s="7">
        <v>0</v>
      </c>
      <c r="M19" s="7">
        <v>0</v>
      </c>
      <c r="N19" s="17">
        <f>+L19-M19</f>
        <v>0</v>
      </c>
      <c r="P19" s="7">
        <v>0</v>
      </c>
      <c r="Q19" s="144">
        <v>0</v>
      </c>
    </row>
    <row r="20" spans="1:17" x14ac:dyDescent="0.25">
      <c r="A20" s="23"/>
      <c r="B20" s="20" t="s">
        <v>141</v>
      </c>
      <c r="C20" s="20" t="s">
        <v>130</v>
      </c>
      <c r="D20" s="24">
        <f>+D21</f>
        <v>15000000</v>
      </c>
      <c r="H20" s="19"/>
      <c r="I20" s="26"/>
    </row>
    <row r="21" spans="1:17" x14ac:dyDescent="0.25">
      <c r="A21" s="23"/>
      <c r="B21" s="32" t="s">
        <v>141</v>
      </c>
      <c r="C21" s="32" t="s">
        <v>130</v>
      </c>
      <c r="D21" s="39">
        <v>15000000</v>
      </c>
      <c r="E21" s="29">
        <v>21925000</v>
      </c>
      <c r="F21" t="s">
        <v>140</v>
      </c>
      <c r="G21" s="33">
        <f>+D20+E21</f>
        <v>36925000</v>
      </c>
      <c r="I21" s="26"/>
      <c r="J21" s="26">
        <f>+G21+I20</f>
        <v>36925000</v>
      </c>
      <c r="L21" s="26">
        <v>36925000</v>
      </c>
      <c r="M21" s="26">
        <v>29350000</v>
      </c>
      <c r="N21" s="56">
        <f>+L21-M21</f>
        <v>7575000</v>
      </c>
      <c r="P21" s="17">
        <f>+J21-N21</f>
        <v>29350000</v>
      </c>
      <c r="Q21" s="144">
        <f>+P21/J21</f>
        <v>0.79485443466486116</v>
      </c>
    </row>
    <row r="22" spans="1:17" x14ac:dyDescent="0.25">
      <c r="A22" s="23"/>
      <c r="B22" s="20" t="s">
        <v>142</v>
      </c>
      <c r="C22" s="20" t="s">
        <v>143</v>
      </c>
      <c r="D22" s="34">
        <f>+D23</f>
        <v>5768244</v>
      </c>
      <c r="E22" s="39"/>
      <c r="G22" s="26"/>
      <c r="I22" s="26"/>
      <c r="J22" s="26">
        <f t="shared" si="0"/>
        <v>0</v>
      </c>
    </row>
    <row r="23" spans="1:17" x14ac:dyDescent="0.25">
      <c r="A23" s="23"/>
      <c r="B23" s="20" t="s">
        <v>144</v>
      </c>
      <c r="C23" s="20" t="s">
        <v>145</v>
      </c>
      <c r="D23" s="26">
        <f>+D24</f>
        <v>5768244</v>
      </c>
      <c r="E23" s="39"/>
      <c r="G23" s="26"/>
      <c r="I23" s="26"/>
      <c r="J23" s="26">
        <f t="shared" si="0"/>
        <v>0</v>
      </c>
    </row>
    <row r="24" spans="1:17" x14ac:dyDescent="0.25">
      <c r="A24" s="23"/>
      <c r="B24" s="32" t="s">
        <v>144</v>
      </c>
      <c r="C24" s="32" t="s">
        <v>145</v>
      </c>
      <c r="D24" s="39">
        <v>5768244</v>
      </c>
      <c r="E24" s="39"/>
      <c r="G24" s="43">
        <f>+D24+E24</f>
        <v>5768244</v>
      </c>
      <c r="H24" s="19"/>
      <c r="I24" s="26"/>
      <c r="J24" s="26">
        <f t="shared" si="0"/>
        <v>5768244</v>
      </c>
      <c r="L24" s="26">
        <v>5768244</v>
      </c>
      <c r="M24" s="7"/>
      <c r="N24" s="56">
        <f>+L24-M24</f>
        <v>5768244</v>
      </c>
      <c r="P24" s="17">
        <f>+J24-N24</f>
        <v>0</v>
      </c>
      <c r="Q24" s="7">
        <v>0</v>
      </c>
    </row>
    <row r="25" spans="1:17" x14ac:dyDescent="0.25">
      <c r="A25" s="23"/>
      <c r="B25" s="25" t="s">
        <v>146</v>
      </c>
      <c r="C25" s="25" t="s">
        <v>147</v>
      </c>
      <c r="D25" s="29">
        <v>0</v>
      </c>
      <c r="E25" s="39"/>
      <c r="I25" s="26"/>
      <c r="J25" s="26">
        <f t="shared" si="0"/>
        <v>0</v>
      </c>
    </row>
    <row r="26" spans="1:17" x14ac:dyDescent="0.25">
      <c r="A26" s="23"/>
      <c r="B26" s="32" t="s">
        <v>148</v>
      </c>
      <c r="C26" s="32" t="s">
        <v>149</v>
      </c>
      <c r="D26" s="29"/>
      <c r="E26" s="29">
        <v>22155000</v>
      </c>
      <c r="F26" t="s">
        <v>140</v>
      </c>
      <c r="G26" s="45">
        <f>+D26+E26</f>
        <v>22155000</v>
      </c>
      <c r="H26" s="19"/>
      <c r="I26" s="26"/>
      <c r="J26" s="26">
        <f t="shared" si="0"/>
        <v>22155000</v>
      </c>
      <c r="L26" s="26">
        <v>22155000</v>
      </c>
      <c r="M26" s="7"/>
      <c r="N26" s="56">
        <f>+L26-M26</f>
        <v>22155000</v>
      </c>
      <c r="P26" s="17">
        <f>+J26-N26</f>
        <v>0</v>
      </c>
      <c r="Q26" s="7">
        <v>0</v>
      </c>
    </row>
    <row r="27" spans="1:17" x14ac:dyDescent="0.25">
      <c r="A27" s="23"/>
      <c r="B27" s="30"/>
      <c r="C27" s="46" t="s">
        <v>150</v>
      </c>
      <c r="D27" s="47">
        <f>+D28+D31+D34</f>
        <v>120264545</v>
      </c>
      <c r="E27" s="39"/>
      <c r="G27" s="31">
        <f>SUM(G29:G35)</f>
        <v>111264045</v>
      </c>
      <c r="H27" s="19"/>
      <c r="I27" s="31">
        <f>SUM(I30:I36)</f>
        <v>51500000</v>
      </c>
      <c r="J27" s="31">
        <f>SUM(J29:J35)</f>
        <v>162764045</v>
      </c>
    </row>
    <row r="28" spans="1:17" x14ac:dyDescent="0.25">
      <c r="A28" s="23"/>
      <c r="B28" s="20" t="s">
        <v>151</v>
      </c>
      <c r="C28" s="20" t="s">
        <v>152</v>
      </c>
      <c r="D28" s="34">
        <f>+D29</f>
        <v>95665445</v>
      </c>
      <c r="E28" s="39"/>
      <c r="I28" s="26"/>
      <c r="J28" s="26">
        <f t="shared" si="0"/>
        <v>0</v>
      </c>
    </row>
    <row r="29" spans="1:17" x14ac:dyDescent="0.25">
      <c r="A29" s="23"/>
      <c r="B29" s="32" t="s">
        <v>151</v>
      </c>
      <c r="C29" s="32" t="s">
        <v>152</v>
      </c>
      <c r="D29" s="39">
        <v>95665445</v>
      </c>
      <c r="E29" s="29">
        <v>9000500</v>
      </c>
      <c r="F29" t="s">
        <v>133</v>
      </c>
      <c r="G29" s="43">
        <f>+D29-E29</f>
        <v>86664945</v>
      </c>
      <c r="I29" s="26"/>
      <c r="J29" s="26">
        <f>+I30+G29</f>
        <v>108164945</v>
      </c>
      <c r="L29" s="26">
        <f>40691445+2000000+687000</f>
        <v>43378445</v>
      </c>
      <c r="M29" s="26">
        <f>+I82</f>
        <v>12515000</v>
      </c>
      <c r="N29" s="56">
        <f>+L29-M29</f>
        <v>30863445</v>
      </c>
      <c r="P29" s="17">
        <f>+G29-N29</f>
        <v>55801500</v>
      </c>
      <c r="Q29" s="144">
        <f>+P29/G29</f>
        <v>0.64387625238785995</v>
      </c>
    </row>
    <row r="30" spans="1:17" x14ac:dyDescent="0.25">
      <c r="A30" s="23"/>
      <c r="B30" s="35" t="s">
        <v>153</v>
      </c>
      <c r="C30" s="35" t="s">
        <v>154</v>
      </c>
      <c r="D30" s="39"/>
      <c r="E30" s="29"/>
      <c r="G30" s="26"/>
      <c r="I30" s="48">
        <v>21500000</v>
      </c>
      <c r="J30" s="26"/>
      <c r="L30" s="26">
        <v>21500000</v>
      </c>
      <c r="M30" s="7"/>
      <c r="N30" s="56">
        <f>+L30-M30</f>
        <v>21500000</v>
      </c>
      <c r="P30" s="17">
        <f>+I30-N30</f>
        <v>0</v>
      </c>
      <c r="Q30" s="7">
        <v>0</v>
      </c>
    </row>
    <row r="31" spans="1:17" x14ac:dyDescent="0.25">
      <c r="A31" s="23"/>
      <c r="B31" s="20" t="s">
        <v>155</v>
      </c>
      <c r="C31" s="20" t="s">
        <v>156</v>
      </c>
      <c r="D31" s="34">
        <f>+D32</f>
        <v>15257000</v>
      </c>
      <c r="E31" s="39"/>
      <c r="G31" s="26"/>
      <c r="I31" s="26"/>
      <c r="J31" s="26">
        <f t="shared" si="0"/>
        <v>0</v>
      </c>
    </row>
    <row r="32" spans="1:17" x14ac:dyDescent="0.25">
      <c r="A32" s="23"/>
      <c r="B32" s="32" t="s">
        <v>155</v>
      </c>
      <c r="C32" s="32" t="s">
        <v>156</v>
      </c>
      <c r="D32" s="39">
        <v>15257000</v>
      </c>
      <c r="E32" s="39"/>
      <c r="G32" s="43">
        <f>+D32+E32</f>
        <v>15257000</v>
      </c>
      <c r="I32" s="26"/>
      <c r="J32" s="26">
        <f>+I33+G32</f>
        <v>35257000</v>
      </c>
      <c r="L32" s="26">
        <v>13605000</v>
      </c>
      <c r="M32" s="26">
        <f>+L82</f>
        <v>4460000</v>
      </c>
      <c r="N32" s="56">
        <f>+L32-M32</f>
        <v>9145000</v>
      </c>
      <c r="P32" s="17">
        <f>+G32-N32</f>
        <v>6112000</v>
      </c>
      <c r="Q32" s="144">
        <f>+P32/G32</f>
        <v>0.40060300190076686</v>
      </c>
    </row>
    <row r="33" spans="1:17" x14ac:dyDescent="0.25">
      <c r="A33" s="23"/>
      <c r="B33" s="35" t="s">
        <v>157</v>
      </c>
      <c r="C33" s="35" t="s">
        <v>158</v>
      </c>
      <c r="D33" s="39"/>
      <c r="E33" s="39"/>
      <c r="G33" s="26"/>
      <c r="I33" s="48">
        <v>20000000</v>
      </c>
      <c r="J33" s="26"/>
      <c r="L33" s="26">
        <v>20000000</v>
      </c>
      <c r="M33" s="7"/>
      <c r="N33" s="56">
        <f>+L33-M33</f>
        <v>20000000</v>
      </c>
      <c r="P33" s="17">
        <f>+I33-N33</f>
        <v>0</v>
      </c>
      <c r="Q33" s="7">
        <v>0</v>
      </c>
    </row>
    <row r="34" spans="1:17" x14ac:dyDescent="0.25">
      <c r="A34" s="23"/>
      <c r="B34" s="20" t="s">
        <v>159</v>
      </c>
      <c r="C34" s="20" t="s">
        <v>160</v>
      </c>
      <c r="D34" s="34">
        <f>+D35</f>
        <v>9342100</v>
      </c>
      <c r="E34" s="39"/>
      <c r="G34" s="26"/>
      <c r="I34" s="26"/>
      <c r="J34" s="26">
        <f t="shared" si="0"/>
        <v>0</v>
      </c>
    </row>
    <row r="35" spans="1:17" x14ac:dyDescent="0.25">
      <c r="A35" s="23"/>
      <c r="B35" s="32" t="s">
        <v>159</v>
      </c>
      <c r="C35" s="32" t="s">
        <v>160</v>
      </c>
      <c r="D35" s="39">
        <v>9342100</v>
      </c>
      <c r="E35" s="39"/>
      <c r="G35" s="43">
        <f>+D35+E35</f>
        <v>9342100</v>
      </c>
      <c r="I35" s="26"/>
      <c r="J35" s="26">
        <f>+I36+G35</f>
        <v>19342100</v>
      </c>
      <c r="L35" s="26">
        <v>9342100</v>
      </c>
      <c r="M35" s="26">
        <v>4000000</v>
      </c>
      <c r="N35" s="56">
        <f>+L35-M35</f>
        <v>5342100</v>
      </c>
      <c r="P35" s="17">
        <f>+G35-N35</f>
        <v>4000000</v>
      </c>
      <c r="Q35" s="144">
        <f>+P35/G35</f>
        <v>0.4281692553066227</v>
      </c>
    </row>
    <row r="36" spans="1:17" x14ac:dyDescent="0.25">
      <c r="A36" s="23"/>
      <c r="B36" s="35" t="s">
        <v>161</v>
      </c>
      <c r="C36" s="35" t="s">
        <v>162</v>
      </c>
      <c r="D36" s="39"/>
      <c r="E36" s="39"/>
      <c r="G36" s="26"/>
      <c r="I36" s="48">
        <v>10000000</v>
      </c>
      <c r="J36" s="26"/>
      <c r="L36" s="26">
        <v>10000000</v>
      </c>
      <c r="M36" s="7"/>
      <c r="N36" s="56">
        <f>+L36-M36</f>
        <v>10000000</v>
      </c>
      <c r="P36" s="17">
        <f>+I36-N36</f>
        <v>0</v>
      </c>
      <c r="Q36" s="7">
        <v>0</v>
      </c>
    </row>
    <row r="37" spans="1:17" x14ac:dyDescent="0.25">
      <c r="A37" s="23"/>
      <c r="B37" s="20" t="s">
        <v>163</v>
      </c>
      <c r="C37" s="20" t="s">
        <v>164</v>
      </c>
      <c r="D37" s="31">
        <f>+D38+D40+D42+D45+D47</f>
        <v>104740082</v>
      </c>
      <c r="E37" s="39"/>
      <c r="G37" s="31">
        <f>SUM(G39:G56)-G51</f>
        <v>204740082</v>
      </c>
      <c r="I37" s="26"/>
      <c r="J37" s="31">
        <f>SUM(J39:J56)-J51</f>
        <v>226740082</v>
      </c>
    </row>
    <row r="38" spans="1:17" x14ac:dyDescent="0.25">
      <c r="A38" s="23"/>
      <c r="B38" s="20" t="s">
        <v>165</v>
      </c>
      <c r="C38" s="20" t="s">
        <v>166</v>
      </c>
      <c r="D38" s="24">
        <f>+D39</f>
        <v>14315082</v>
      </c>
      <c r="E38" s="39"/>
      <c r="I38" s="26"/>
      <c r="J38" s="26">
        <f t="shared" si="0"/>
        <v>0</v>
      </c>
    </row>
    <row r="39" spans="1:17" x14ac:dyDescent="0.25">
      <c r="A39" s="23"/>
      <c r="B39" s="32" t="s">
        <v>165</v>
      </c>
      <c r="C39" s="32" t="s">
        <v>166</v>
      </c>
      <c r="D39" s="39">
        <v>14315082</v>
      </c>
      <c r="E39" s="29">
        <v>1000000</v>
      </c>
      <c r="F39" t="s">
        <v>140</v>
      </c>
      <c r="G39" s="33">
        <f>+D39+E39</f>
        <v>15315082</v>
      </c>
      <c r="H39" s="49"/>
      <c r="I39" s="26"/>
      <c r="J39" s="26">
        <f t="shared" si="0"/>
        <v>15315082</v>
      </c>
      <c r="L39" s="26">
        <v>15315082</v>
      </c>
      <c r="M39" s="7"/>
      <c r="N39" s="56">
        <f>+L39-M39</f>
        <v>15315082</v>
      </c>
      <c r="P39" s="17">
        <f>+J39-N39</f>
        <v>0</v>
      </c>
      <c r="Q39" s="7">
        <v>0</v>
      </c>
    </row>
    <row r="40" spans="1:17" x14ac:dyDescent="0.25">
      <c r="A40" s="23"/>
      <c r="B40" s="20" t="s">
        <v>167</v>
      </c>
      <c r="C40" s="20" t="s">
        <v>168</v>
      </c>
      <c r="D40" s="24">
        <f>+D41</f>
        <v>12000000</v>
      </c>
      <c r="E40" s="39"/>
      <c r="G40" s="26"/>
      <c r="I40" s="26"/>
      <c r="J40" s="26">
        <f t="shared" si="0"/>
        <v>0</v>
      </c>
    </row>
    <row r="41" spans="1:17" x14ac:dyDescent="0.25">
      <c r="A41" s="23"/>
      <c r="B41" s="32" t="s">
        <v>167</v>
      </c>
      <c r="C41" s="32" t="s">
        <v>168</v>
      </c>
      <c r="D41" s="39">
        <v>12000000</v>
      </c>
      <c r="E41" s="29">
        <v>3000000</v>
      </c>
      <c r="F41" t="s">
        <v>133</v>
      </c>
      <c r="G41" s="33">
        <f>+D41-E41</f>
        <v>9000000</v>
      </c>
      <c r="H41" s="19"/>
      <c r="I41" s="26"/>
      <c r="J41" s="26">
        <f t="shared" si="0"/>
        <v>9000000</v>
      </c>
      <c r="L41" s="26">
        <v>9000000</v>
      </c>
      <c r="M41" s="7"/>
      <c r="N41" s="56">
        <f>+L41-M41</f>
        <v>9000000</v>
      </c>
      <c r="P41" s="17">
        <f>+J41-N41</f>
        <v>0</v>
      </c>
      <c r="Q41" s="7">
        <v>0</v>
      </c>
    </row>
    <row r="42" spans="1:17" x14ac:dyDescent="0.25">
      <c r="A42" s="23"/>
      <c r="B42" s="20" t="s">
        <v>169</v>
      </c>
      <c r="C42" s="20" t="s">
        <v>170</v>
      </c>
      <c r="D42" s="24">
        <f>+D43</f>
        <v>42425000</v>
      </c>
      <c r="E42" s="39"/>
      <c r="G42" s="26"/>
      <c r="I42" s="26"/>
      <c r="J42" s="26">
        <f t="shared" si="0"/>
        <v>0</v>
      </c>
    </row>
    <row r="43" spans="1:17" x14ac:dyDescent="0.25">
      <c r="A43" s="23"/>
      <c r="B43" s="32" t="s">
        <v>169</v>
      </c>
      <c r="C43" s="32" t="s">
        <v>170</v>
      </c>
      <c r="D43" s="39">
        <v>42425000</v>
      </c>
      <c r="E43" s="39"/>
      <c r="G43" s="33">
        <f>+D43+E43</f>
        <v>42425000</v>
      </c>
      <c r="H43" s="19"/>
      <c r="I43" s="26"/>
      <c r="J43" s="26">
        <f>+I44+G43</f>
        <v>64425000</v>
      </c>
      <c r="L43" s="26">
        <v>0</v>
      </c>
      <c r="M43" s="7"/>
      <c r="N43" s="17">
        <f>+L43-M43</f>
        <v>0</v>
      </c>
      <c r="P43" s="17">
        <f>+G43-N43</f>
        <v>42425000</v>
      </c>
      <c r="Q43" s="144">
        <f>+P43/G43</f>
        <v>1</v>
      </c>
    </row>
    <row r="44" spans="1:17" x14ac:dyDescent="0.25">
      <c r="A44" s="23"/>
      <c r="B44" s="35" t="s">
        <v>171</v>
      </c>
      <c r="C44" s="35" t="s">
        <v>172</v>
      </c>
      <c r="D44" s="39"/>
      <c r="E44" s="39"/>
      <c r="G44" s="29"/>
      <c r="H44" s="19"/>
      <c r="I44" s="48">
        <v>22000000</v>
      </c>
      <c r="J44" s="26"/>
      <c r="L44" s="26">
        <v>22000000</v>
      </c>
      <c r="M44" s="17">
        <v>2600000</v>
      </c>
      <c r="N44" s="56">
        <f>+L44-M44</f>
        <v>19400000</v>
      </c>
    </row>
    <row r="45" spans="1:17" x14ac:dyDescent="0.25">
      <c r="A45" s="23"/>
      <c r="B45" s="20" t="s">
        <v>173</v>
      </c>
      <c r="C45" s="20" t="s">
        <v>174</v>
      </c>
      <c r="D45" s="24">
        <f>+D46</f>
        <v>6000000</v>
      </c>
      <c r="E45" s="39"/>
      <c r="G45" s="26"/>
      <c r="I45" s="26"/>
      <c r="J45" s="26">
        <f t="shared" si="0"/>
        <v>0</v>
      </c>
    </row>
    <row r="46" spans="1:17" x14ac:dyDescent="0.25">
      <c r="A46" s="23"/>
      <c r="B46" s="32" t="s">
        <v>173</v>
      </c>
      <c r="C46" s="32" t="s">
        <v>174</v>
      </c>
      <c r="D46" s="39">
        <v>6000000</v>
      </c>
      <c r="E46" s="39"/>
      <c r="G46" s="33">
        <f>+D46+E46</f>
        <v>6000000</v>
      </c>
      <c r="H46" s="19"/>
      <c r="I46" s="26"/>
      <c r="J46" s="26">
        <f t="shared" si="0"/>
        <v>6000000</v>
      </c>
      <c r="L46" s="26">
        <v>6000000</v>
      </c>
      <c r="M46" s="7"/>
      <c r="N46" s="56">
        <f>+L46-M46</f>
        <v>6000000</v>
      </c>
      <c r="P46" s="17">
        <f>+J46-N46</f>
        <v>0</v>
      </c>
      <c r="Q46" s="7">
        <v>0</v>
      </c>
    </row>
    <row r="47" spans="1:17" x14ac:dyDescent="0.25">
      <c r="A47" s="23"/>
      <c r="B47" s="20" t="s">
        <v>175</v>
      </c>
      <c r="C47" s="20" t="s">
        <v>176</v>
      </c>
      <c r="D47" s="34">
        <f>+D48</f>
        <v>30000000</v>
      </c>
      <c r="E47" s="39"/>
      <c r="I47" s="26"/>
      <c r="J47" s="26">
        <f t="shared" si="0"/>
        <v>0</v>
      </c>
    </row>
    <row r="48" spans="1:17" x14ac:dyDescent="0.25">
      <c r="A48" s="23"/>
      <c r="B48" s="50" t="s">
        <v>175</v>
      </c>
      <c r="C48" s="50" t="s">
        <v>176</v>
      </c>
      <c r="D48" s="39">
        <v>30000000</v>
      </c>
      <c r="E48" s="29">
        <v>30000000</v>
      </c>
      <c r="F48" t="s">
        <v>133</v>
      </c>
      <c r="G48" s="51">
        <f>+D48-E48</f>
        <v>0</v>
      </c>
      <c r="I48" s="26"/>
      <c r="J48" s="26">
        <f t="shared" si="0"/>
        <v>0</v>
      </c>
      <c r="L48" s="26">
        <v>0</v>
      </c>
      <c r="M48" s="7"/>
      <c r="N48" s="17">
        <f>+L48-M48</f>
        <v>0</v>
      </c>
    </row>
    <row r="49" spans="1:17" x14ac:dyDescent="0.25">
      <c r="A49" s="23"/>
      <c r="B49" s="20" t="s">
        <v>177</v>
      </c>
      <c r="C49" s="25" t="s">
        <v>178</v>
      </c>
      <c r="D49" s="34">
        <f>+D50</f>
        <v>300856644</v>
      </c>
      <c r="E49" s="39"/>
      <c r="I49" s="26"/>
      <c r="J49" s="26">
        <f t="shared" si="0"/>
        <v>0</v>
      </c>
    </row>
    <row r="50" spans="1:17" x14ac:dyDescent="0.25">
      <c r="A50" s="23"/>
      <c r="B50" s="30" t="s">
        <v>177</v>
      </c>
      <c r="C50" s="30" t="s">
        <v>178</v>
      </c>
      <c r="D50" s="39">
        <f>+D51+D53+D57+D58+D60+D62</f>
        <v>300856644</v>
      </c>
      <c r="E50" s="39">
        <v>142999500</v>
      </c>
      <c r="F50" t="s">
        <v>133</v>
      </c>
      <c r="I50" s="26"/>
      <c r="J50" s="26">
        <f t="shared" si="0"/>
        <v>0</v>
      </c>
    </row>
    <row r="51" spans="1:17" x14ac:dyDescent="0.25">
      <c r="A51" s="23"/>
      <c r="B51" s="32" t="s">
        <v>177</v>
      </c>
      <c r="C51" s="32" t="s">
        <v>179</v>
      </c>
      <c r="D51" s="47">
        <v>157857144</v>
      </c>
      <c r="E51" s="39"/>
      <c r="G51" s="43">
        <f>+D51+E51</f>
        <v>157857144</v>
      </c>
      <c r="H51" s="19"/>
      <c r="I51" s="26"/>
      <c r="J51" s="26">
        <f>+I52+G51</f>
        <v>195357144</v>
      </c>
      <c r="L51" s="26">
        <v>22564144</v>
      </c>
      <c r="M51" s="7"/>
      <c r="N51" s="56">
        <f>+L51-M51</f>
        <v>22564144</v>
      </c>
      <c r="P51" s="17">
        <f>+G51-N51</f>
        <v>135293000</v>
      </c>
      <c r="Q51" s="144">
        <f>+P51/G51</f>
        <v>0.85705972230183003</v>
      </c>
    </row>
    <row r="52" spans="1:17" x14ac:dyDescent="0.25">
      <c r="A52" s="23"/>
      <c r="B52" s="35" t="s">
        <v>180</v>
      </c>
      <c r="C52" s="35" t="s">
        <v>181</v>
      </c>
      <c r="D52" s="47"/>
      <c r="E52" s="39"/>
      <c r="F52" s="23"/>
      <c r="G52" s="26"/>
      <c r="I52" s="48">
        <v>37500000</v>
      </c>
      <c r="J52" s="26"/>
      <c r="L52" s="26">
        <v>37500000</v>
      </c>
      <c r="M52" s="7"/>
      <c r="N52" s="56">
        <f>+L52-M52</f>
        <v>37500000</v>
      </c>
      <c r="P52" s="17">
        <f>+I52-N52</f>
        <v>0</v>
      </c>
      <c r="Q52" s="7">
        <v>0</v>
      </c>
    </row>
    <row r="53" spans="1:17" x14ac:dyDescent="0.25">
      <c r="A53" s="23"/>
      <c r="B53" s="30"/>
      <c r="C53" s="46" t="s">
        <v>182</v>
      </c>
      <c r="D53" s="47">
        <f>SUM(D54:D56)</f>
        <v>132000000</v>
      </c>
      <c r="E53" s="39"/>
      <c r="G53" s="26"/>
      <c r="I53" s="26"/>
      <c r="J53" s="26">
        <f t="shared" si="0"/>
        <v>0</v>
      </c>
    </row>
    <row r="54" spans="1:17" x14ac:dyDescent="0.25">
      <c r="A54" s="23"/>
      <c r="B54" s="32" t="s">
        <v>183</v>
      </c>
      <c r="C54" s="32" t="s">
        <v>184</v>
      </c>
      <c r="D54" s="47">
        <v>70000000</v>
      </c>
      <c r="E54" s="39"/>
      <c r="G54" s="33">
        <v>70000000</v>
      </c>
      <c r="H54" s="19"/>
      <c r="I54" s="26"/>
      <c r="J54" s="26">
        <f t="shared" si="0"/>
        <v>70000000</v>
      </c>
      <c r="L54" s="26">
        <v>55500000</v>
      </c>
      <c r="M54" s="7"/>
      <c r="N54" s="56">
        <f>+L54-M54</f>
        <v>55500000</v>
      </c>
      <c r="P54" s="17">
        <f>+J54-N54</f>
        <v>14500000</v>
      </c>
      <c r="Q54" s="144">
        <f>+P54/G54</f>
        <v>0.20714285714285716</v>
      </c>
    </row>
    <row r="55" spans="1:17" x14ac:dyDescent="0.25">
      <c r="A55" s="23"/>
      <c r="B55" s="32" t="s">
        <v>185</v>
      </c>
      <c r="C55" s="32" t="s">
        <v>186</v>
      </c>
      <c r="D55" s="47">
        <v>1000000</v>
      </c>
      <c r="E55" s="39"/>
      <c r="G55" s="33">
        <v>1000000</v>
      </c>
      <c r="H55" s="19"/>
      <c r="I55" s="26"/>
      <c r="J55" s="26">
        <f t="shared" si="0"/>
        <v>1000000</v>
      </c>
      <c r="L55" s="26">
        <v>1000000</v>
      </c>
      <c r="M55" s="7"/>
      <c r="N55" s="56">
        <f>+L55-M55</f>
        <v>1000000</v>
      </c>
      <c r="P55" s="17">
        <f>+J55-N55</f>
        <v>0</v>
      </c>
      <c r="Q55" s="7">
        <v>0</v>
      </c>
    </row>
    <row r="56" spans="1:17" x14ac:dyDescent="0.25">
      <c r="A56" s="23"/>
      <c r="B56" s="32" t="s">
        <v>187</v>
      </c>
      <c r="C56" s="32" t="s">
        <v>188</v>
      </c>
      <c r="D56" s="47">
        <v>61000000</v>
      </c>
      <c r="E56" s="39"/>
      <c r="G56" s="33">
        <v>61000000</v>
      </c>
      <c r="H56" s="19"/>
      <c r="I56" s="26"/>
      <c r="J56" s="26">
        <f t="shared" si="0"/>
        <v>61000000</v>
      </c>
      <c r="L56" s="26">
        <v>59500000</v>
      </c>
      <c r="M56" s="17">
        <v>40000000</v>
      </c>
      <c r="N56" s="56">
        <f>+L56-M56</f>
        <v>19500000</v>
      </c>
      <c r="P56" s="17">
        <f>+G56-N56</f>
        <v>41500000</v>
      </c>
      <c r="Q56" s="144">
        <f>+P56/G56</f>
        <v>0.68032786885245899</v>
      </c>
    </row>
    <row r="57" spans="1:17" x14ac:dyDescent="0.25">
      <c r="A57" s="23"/>
      <c r="B57" s="30"/>
      <c r="C57" s="46" t="s">
        <v>189</v>
      </c>
      <c r="D57" s="47">
        <v>8999500</v>
      </c>
      <c r="E57" s="39"/>
      <c r="G57" s="26"/>
      <c r="I57" s="26"/>
      <c r="J57" s="26">
        <f t="shared" si="0"/>
        <v>0</v>
      </c>
    </row>
    <row r="58" spans="1:17" x14ac:dyDescent="0.25">
      <c r="A58" s="23"/>
      <c r="B58" s="32" t="s">
        <v>190</v>
      </c>
      <c r="C58" s="32" t="s">
        <v>191</v>
      </c>
      <c r="D58" s="47">
        <v>500000</v>
      </c>
      <c r="E58" s="39"/>
      <c r="G58" s="33">
        <v>500000</v>
      </c>
      <c r="H58" s="19"/>
      <c r="I58" s="26"/>
      <c r="J58" s="26">
        <f>+I59+G58</f>
        <v>22500000</v>
      </c>
      <c r="L58" s="26">
        <v>500000</v>
      </c>
      <c r="M58" s="7"/>
      <c r="N58" s="56">
        <f t="shared" ref="N58:N63" si="1">+L58-M58</f>
        <v>500000</v>
      </c>
      <c r="P58" s="17">
        <f>+G58-N58</f>
        <v>0</v>
      </c>
      <c r="Q58" s="7">
        <v>0</v>
      </c>
    </row>
    <row r="59" spans="1:17" x14ac:dyDescent="0.25">
      <c r="A59" s="23"/>
      <c r="B59" s="35" t="s">
        <v>192</v>
      </c>
      <c r="C59" s="35" t="s">
        <v>193</v>
      </c>
      <c r="D59" s="47"/>
      <c r="E59" s="39"/>
      <c r="G59" s="29"/>
      <c r="H59" s="19"/>
      <c r="I59" s="48">
        <v>22000000</v>
      </c>
      <c r="J59" s="26"/>
      <c r="L59" s="26">
        <v>22000000</v>
      </c>
      <c r="M59" s="7"/>
      <c r="N59" s="56">
        <f t="shared" si="1"/>
        <v>22000000</v>
      </c>
      <c r="P59" s="17">
        <f>+I59-N59</f>
        <v>0</v>
      </c>
      <c r="Q59" s="7">
        <v>0</v>
      </c>
    </row>
    <row r="60" spans="1:17" x14ac:dyDescent="0.25">
      <c r="A60" s="23"/>
      <c r="B60" s="32" t="s">
        <v>194</v>
      </c>
      <c r="C60" s="32" t="s">
        <v>195</v>
      </c>
      <c r="D60" s="47">
        <v>500000</v>
      </c>
      <c r="E60" s="39"/>
      <c r="G60" s="43">
        <v>500000</v>
      </c>
      <c r="H60" s="19"/>
      <c r="I60" s="26"/>
      <c r="J60" s="26">
        <f>+I61+G60</f>
        <v>15500000</v>
      </c>
      <c r="L60" s="26">
        <v>500000</v>
      </c>
      <c r="M60" s="7"/>
      <c r="N60" s="56">
        <f t="shared" si="1"/>
        <v>500000</v>
      </c>
      <c r="P60" s="17">
        <f>+G60-N60</f>
        <v>0</v>
      </c>
      <c r="Q60" s="7">
        <v>0</v>
      </c>
    </row>
    <row r="61" spans="1:17" x14ac:dyDescent="0.25">
      <c r="A61" s="23"/>
      <c r="B61" s="35" t="s">
        <v>196</v>
      </c>
      <c r="C61" s="35" t="s">
        <v>197</v>
      </c>
      <c r="D61" s="47"/>
      <c r="E61" s="39"/>
      <c r="F61" s="23"/>
      <c r="G61" s="26"/>
      <c r="H61" s="19"/>
      <c r="I61" s="48">
        <v>15000000</v>
      </c>
      <c r="J61" s="26"/>
      <c r="L61" s="26">
        <v>15000000</v>
      </c>
      <c r="M61" s="7"/>
      <c r="N61" s="56">
        <f t="shared" si="1"/>
        <v>15000000</v>
      </c>
      <c r="P61" s="17">
        <f>+I61-N61</f>
        <v>0</v>
      </c>
      <c r="Q61" s="7">
        <v>0</v>
      </c>
    </row>
    <row r="62" spans="1:17" x14ac:dyDescent="0.25">
      <c r="A62" s="23"/>
      <c r="B62" s="32" t="s">
        <v>198</v>
      </c>
      <c r="C62" s="32" t="s">
        <v>199</v>
      </c>
      <c r="D62" s="47">
        <v>1000000</v>
      </c>
      <c r="E62" s="39"/>
      <c r="G62" s="43">
        <v>1000000</v>
      </c>
      <c r="H62" s="19"/>
      <c r="I62" s="26"/>
      <c r="J62" s="26">
        <f>+I63+G62</f>
        <v>13000000</v>
      </c>
      <c r="L62" s="26">
        <v>1000000</v>
      </c>
      <c r="M62" s="7"/>
      <c r="N62" s="56">
        <f t="shared" si="1"/>
        <v>1000000</v>
      </c>
      <c r="P62" s="17">
        <f>+G62-N62</f>
        <v>0</v>
      </c>
      <c r="Q62" s="7">
        <v>0</v>
      </c>
    </row>
    <row r="63" spans="1:17" x14ac:dyDescent="0.25">
      <c r="A63" s="23"/>
      <c r="B63" s="35" t="s">
        <v>200</v>
      </c>
      <c r="C63" s="35" t="s">
        <v>201</v>
      </c>
      <c r="D63" s="47"/>
      <c r="E63" s="39"/>
      <c r="G63" s="26"/>
      <c r="H63" s="19"/>
      <c r="I63" s="48">
        <v>12000000</v>
      </c>
      <c r="J63" s="26"/>
      <c r="L63" s="26">
        <v>12000000</v>
      </c>
      <c r="M63" s="17">
        <v>9000000</v>
      </c>
      <c r="N63" s="56">
        <f t="shared" si="1"/>
        <v>3000000</v>
      </c>
      <c r="P63" s="17">
        <f>+I63-N63</f>
        <v>9000000</v>
      </c>
      <c r="Q63" s="144">
        <f>+P63/I63</f>
        <v>0.75</v>
      </c>
    </row>
    <row r="64" spans="1:17" ht="14.25" customHeight="1" x14ac:dyDescent="0.25">
      <c r="A64" s="23"/>
      <c r="B64" s="25" t="s">
        <v>202</v>
      </c>
      <c r="C64" s="20" t="s">
        <v>203</v>
      </c>
      <c r="D64" s="34">
        <f>+D65</f>
        <v>295088400</v>
      </c>
      <c r="E64" s="39"/>
      <c r="G64" s="26"/>
      <c r="I64" s="26"/>
      <c r="J64" s="26">
        <f t="shared" si="0"/>
        <v>0</v>
      </c>
    </row>
    <row r="65" spans="1:17" x14ac:dyDescent="0.25">
      <c r="A65" s="23"/>
      <c r="B65" s="20" t="s">
        <v>204</v>
      </c>
      <c r="C65" s="20" t="s">
        <v>205</v>
      </c>
      <c r="D65" s="26">
        <f>+D66</f>
        <v>295088400</v>
      </c>
      <c r="E65" s="39"/>
      <c r="G65" s="26"/>
      <c r="I65" s="26"/>
      <c r="J65" s="26">
        <f t="shared" si="0"/>
        <v>0</v>
      </c>
      <c r="L65" s="52"/>
    </row>
    <row r="66" spans="1:17" x14ac:dyDescent="0.25">
      <c r="A66" s="23"/>
      <c r="B66" s="32" t="s">
        <v>204</v>
      </c>
      <c r="C66" s="32" t="s">
        <v>205</v>
      </c>
      <c r="D66" s="39">
        <v>295088400</v>
      </c>
      <c r="E66" s="29">
        <v>50000000</v>
      </c>
      <c r="F66" t="s">
        <v>140</v>
      </c>
      <c r="G66" s="43">
        <f>+D66+E66</f>
        <v>345088400</v>
      </c>
      <c r="H66" s="19"/>
      <c r="I66" s="26"/>
      <c r="J66" s="26">
        <f t="shared" si="0"/>
        <v>345088400</v>
      </c>
      <c r="L66" s="26">
        <v>0</v>
      </c>
      <c r="M66" s="7"/>
      <c r="N66" s="17">
        <f>+L66-M66</f>
        <v>0</v>
      </c>
      <c r="P66" s="17">
        <f>+D66-N66</f>
        <v>295088400</v>
      </c>
      <c r="Q66" s="144">
        <f>+P66/D66</f>
        <v>1</v>
      </c>
    </row>
    <row r="67" spans="1:17" x14ac:dyDescent="0.25">
      <c r="A67" s="23"/>
      <c r="B67" s="32" t="s">
        <v>206</v>
      </c>
      <c r="C67" s="32" t="s">
        <v>207</v>
      </c>
      <c r="D67" s="39"/>
      <c r="E67" s="29">
        <v>50000000</v>
      </c>
      <c r="G67" s="26"/>
      <c r="H67" s="19"/>
      <c r="I67" s="26"/>
      <c r="J67" s="26"/>
      <c r="L67" s="26">
        <v>0</v>
      </c>
      <c r="M67" s="7"/>
      <c r="N67" s="17">
        <f>+L67-M67</f>
        <v>0</v>
      </c>
      <c r="P67" s="17">
        <f>+E67-N67</f>
        <v>50000000</v>
      </c>
      <c r="Q67" s="144">
        <f>+P67/E67</f>
        <v>1</v>
      </c>
    </row>
    <row r="68" spans="1:17" x14ac:dyDescent="0.25">
      <c r="B68" s="20" t="s">
        <v>208</v>
      </c>
      <c r="C68" s="20" t="s">
        <v>209</v>
      </c>
      <c r="D68" s="34">
        <f>+D69</f>
        <v>174000000</v>
      </c>
      <c r="E68" s="39"/>
      <c r="G68" s="26"/>
      <c r="I68" s="26"/>
      <c r="J68" s="26">
        <f t="shared" si="0"/>
        <v>0</v>
      </c>
    </row>
    <row r="69" spans="1:17" x14ac:dyDescent="0.25">
      <c r="B69" s="20" t="s">
        <v>210</v>
      </c>
      <c r="C69" s="20" t="s">
        <v>211</v>
      </c>
      <c r="D69" s="26">
        <f>+D70</f>
        <v>174000000</v>
      </c>
      <c r="E69" s="39"/>
      <c r="G69" s="26"/>
      <c r="I69" s="26"/>
      <c r="J69" s="26">
        <f t="shared" si="0"/>
        <v>0</v>
      </c>
    </row>
    <row r="70" spans="1:17" x14ac:dyDescent="0.25">
      <c r="B70" s="20" t="s">
        <v>212</v>
      </c>
      <c r="C70" s="20" t="s">
        <v>213</v>
      </c>
      <c r="D70" s="26">
        <f>+D71</f>
        <v>174000000</v>
      </c>
      <c r="E70" s="39"/>
      <c r="G70" s="26"/>
      <c r="I70" s="26"/>
      <c r="J70" s="26">
        <f t="shared" si="0"/>
        <v>0</v>
      </c>
    </row>
    <row r="71" spans="1:17" x14ac:dyDescent="0.25">
      <c r="B71" s="32" t="s">
        <v>212</v>
      </c>
      <c r="C71" s="32" t="s">
        <v>213</v>
      </c>
      <c r="D71" s="39">
        <v>174000000</v>
      </c>
      <c r="E71" s="39"/>
      <c r="G71" s="43">
        <f>+D71+E71</f>
        <v>174000000</v>
      </c>
      <c r="H71" s="19"/>
      <c r="I71" s="26"/>
      <c r="J71" s="26">
        <f t="shared" si="0"/>
        <v>174000000</v>
      </c>
      <c r="L71" s="26">
        <f>49566998+117260995+45000000</f>
        <v>211827993</v>
      </c>
      <c r="M71" s="7"/>
      <c r="N71" s="56">
        <f>+L71-M71</f>
        <v>211827993</v>
      </c>
      <c r="P71" s="17">
        <f>+L71-N71</f>
        <v>0</v>
      </c>
      <c r="Q71" s="7">
        <v>0</v>
      </c>
    </row>
    <row r="74" spans="1:17" x14ac:dyDescent="0.25">
      <c r="I74" s="22">
        <f>SUM(I75:I76)</f>
        <v>29350000</v>
      </c>
    </row>
    <row r="75" spans="1:17" x14ac:dyDescent="0.25">
      <c r="I75" s="17">
        <v>1850000</v>
      </c>
      <c r="J75" t="s">
        <v>326</v>
      </c>
    </row>
    <row r="76" spans="1:17" x14ac:dyDescent="0.25">
      <c r="I76" s="17">
        <v>27500000</v>
      </c>
      <c r="J76" t="s">
        <v>327</v>
      </c>
    </row>
    <row r="82" spans="9:13" x14ac:dyDescent="0.25">
      <c r="I82" s="22">
        <f>SUM(I83:I95)</f>
        <v>12515000</v>
      </c>
      <c r="L82" s="22">
        <f>SUM(L83:L92)</f>
        <v>4460000</v>
      </c>
    </row>
    <row r="83" spans="9:13" x14ac:dyDescent="0.25">
      <c r="I83" s="17">
        <v>2500000</v>
      </c>
      <c r="J83" t="s">
        <v>273</v>
      </c>
      <c r="L83" s="17">
        <v>900000</v>
      </c>
      <c r="M83" t="s">
        <v>300</v>
      </c>
    </row>
    <row r="84" spans="9:13" x14ac:dyDescent="0.25">
      <c r="I84" s="17">
        <v>535000</v>
      </c>
      <c r="J84" t="s">
        <v>274</v>
      </c>
      <c r="L84" s="17">
        <v>2230000</v>
      </c>
      <c r="M84" t="s">
        <v>301</v>
      </c>
    </row>
    <row r="85" spans="9:13" x14ac:dyDescent="0.25">
      <c r="I85" s="17">
        <v>588000</v>
      </c>
      <c r="J85" t="s">
        <v>293</v>
      </c>
      <c r="L85" s="17">
        <v>365000</v>
      </c>
      <c r="M85" t="s">
        <v>302</v>
      </c>
    </row>
    <row r="86" spans="9:13" x14ac:dyDescent="0.25">
      <c r="I86" s="17">
        <v>677000</v>
      </c>
      <c r="J86" t="s">
        <v>294</v>
      </c>
      <c r="L86" s="17">
        <v>600000</v>
      </c>
      <c r="M86" t="s">
        <v>302</v>
      </c>
    </row>
    <row r="87" spans="9:13" x14ac:dyDescent="0.25">
      <c r="I87" s="17">
        <v>1000000</v>
      </c>
      <c r="J87" t="s">
        <v>295</v>
      </c>
      <c r="L87" s="17">
        <v>365000</v>
      </c>
      <c r="M87" t="s">
        <v>302</v>
      </c>
    </row>
    <row r="88" spans="9:13" x14ac:dyDescent="0.25">
      <c r="I88" s="17">
        <v>570000</v>
      </c>
      <c r="J88" t="s">
        <v>296</v>
      </c>
      <c r="L88" s="17"/>
    </row>
    <row r="89" spans="9:13" x14ac:dyDescent="0.25">
      <c r="I89" s="56"/>
      <c r="J89" s="57" t="s">
        <v>296</v>
      </c>
      <c r="L89" s="17"/>
    </row>
    <row r="90" spans="9:13" x14ac:dyDescent="0.25">
      <c r="I90" s="17">
        <v>2820000</v>
      </c>
      <c r="J90" t="s">
        <v>297</v>
      </c>
      <c r="L90" s="17"/>
    </row>
    <row r="91" spans="9:13" x14ac:dyDescent="0.25">
      <c r="I91" s="17">
        <v>1500000</v>
      </c>
      <c r="J91" t="s">
        <v>298</v>
      </c>
      <c r="L91" s="17"/>
    </row>
    <row r="92" spans="9:13" x14ac:dyDescent="0.25">
      <c r="I92" s="17">
        <v>720000</v>
      </c>
      <c r="J92" t="s">
        <v>299</v>
      </c>
      <c r="L92" s="17"/>
    </row>
    <row r="93" spans="9:13" x14ac:dyDescent="0.25">
      <c r="I93" s="17">
        <v>410000</v>
      </c>
      <c r="J93" t="s">
        <v>302</v>
      </c>
    </row>
    <row r="94" spans="9:13" x14ac:dyDescent="0.25">
      <c r="I94" s="17">
        <v>475000</v>
      </c>
      <c r="J94" t="s">
        <v>302</v>
      </c>
    </row>
    <row r="95" spans="9:13" x14ac:dyDescent="0.25">
      <c r="I95" s="17">
        <v>720000</v>
      </c>
      <c r="J95" t="s">
        <v>274</v>
      </c>
    </row>
    <row r="98" spans="9:10" x14ac:dyDescent="0.25">
      <c r="I98" s="17">
        <v>2600000</v>
      </c>
      <c r="J98" t="s">
        <v>330</v>
      </c>
    </row>
    <row r="110" spans="9:10" x14ac:dyDescent="0.25">
      <c r="I110" s="17">
        <v>40000000</v>
      </c>
      <c r="J110" t="s">
        <v>328</v>
      </c>
    </row>
    <row r="117" spans="9:10" x14ac:dyDescent="0.25">
      <c r="I117" s="17">
        <v>9000000</v>
      </c>
      <c r="J117" t="s">
        <v>329</v>
      </c>
    </row>
  </sheetData>
  <printOptions horizontalCentered="1"/>
  <pageMargins left="0.31496062992125984" right="0.31496062992125984" top="0.15748031496062992" bottom="0.15748031496062992" header="0.31496062992125984" footer="0.31496062992125984"/>
  <pageSetup paperSize="5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topLeftCell="D1" workbookViewId="0">
      <selection activeCell="L5" sqref="L5:M5"/>
    </sheetView>
  </sheetViews>
  <sheetFormatPr baseColWidth="10" defaultColWidth="28.28515625" defaultRowHeight="12.75" x14ac:dyDescent="0.2"/>
  <cols>
    <col min="1" max="1" width="2.85546875" style="59" customWidth="1"/>
    <col min="2" max="2" width="24" style="59" customWidth="1"/>
    <col min="3" max="3" width="59.7109375" style="59" customWidth="1"/>
    <col min="4" max="4" width="14.85546875" style="59" bestFit="1" customWidth="1"/>
    <col min="5" max="5" width="12.85546875" style="59" customWidth="1"/>
    <col min="6" max="6" width="10.85546875" style="59" bestFit="1" customWidth="1"/>
    <col min="7" max="7" width="1.85546875" style="59" customWidth="1"/>
    <col min="8" max="8" width="11.7109375" style="59" bestFit="1" customWidth="1"/>
    <col min="9" max="9" width="12" style="59" customWidth="1"/>
    <col min="10" max="10" width="13" style="59" bestFit="1" customWidth="1"/>
    <col min="11" max="11" width="1.7109375" style="59" customWidth="1"/>
    <col min="12" max="12" width="12.28515625" style="59" bestFit="1" customWidth="1"/>
    <col min="13" max="13" width="9.42578125" style="59" bestFit="1" customWidth="1"/>
    <col min="14" max="16384" width="28.28515625" style="59"/>
  </cols>
  <sheetData>
    <row r="1" spans="1:13" x14ac:dyDescent="0.2">
      <c r="B1" s="59" t="s">
        <v>214</v>
      </c>
    </row>
    <row r="2" spans="1:13" x14ac:dyDescent="0.2">
      <c r="B2" s="59" t="s">
        <v>215</v>
      </c>
    </row>
    <row r="5" spans="1:13" ht="25.5" x14ac:dyDescent="0.2">
      <c r="D5" s="60" t="s">
        <v>216</v>
      </c>
      <c r="E5" s="60" t="s">
        <v>216</v>
      </c>
      <c r="H5" s="54" t="s">
        <v>270</v>
      </c>
      <c r="I5" s="54" t="s">
        <v>271</v>
      </c>
      <c r="J5" s="54" t="s">
        <v>272</v>
      </c>
      <c r="L5" s="148" t="s">
        <v>333</v>
      </c>
      <c r="M5" s="148" t="s">
        <v>334</v>
      </c>
    </row>
    <row r="6" spans="1:13" x14ac:dyDescent="0.2">
      <c r="A6" s="61" t="s">
        <v>42</v>
      </c>
      <c r="B6" s="62" t="s">
        <v>117</v>
      </c>
      <c r="C6" s="62" t="s">
        <v>118</v>
      </c>
      <c r="D6" s="63">
        <f>+D7+D16</f>
        <v>816543613</v>
      </c>
      <c r="E6" s="63">
        <v>30000000</v>
      </c>
      <c r="F6" s="63">
        <f>+D6+E6</f>
        <v>846543613</v>
      </c>
      <c r="H6" s="64"/>
      <c r="I6" s="65"/>
      <c r="J6" s="65"/>
    </row>
    <row r="7" spans="1:13" x14ac:dyDescent="0.2">
      <c r="A7" s="66"/>
      <c r="B7" s="62" t="s">
        <v>217</v>
      </c>
      <c r="C7" s="62" t="s">
        <v>218</v>
      </c>
      <c r="D7" s="67">
        <f>+D8+D14</f>
        <v>104000000</v>
      </c>
      <c r="F7" s="68">
        <f>+F8+F14</f>
        <v>0</v>
      </c>
      <c r="H7" s="64"/>
      <c r="I7" s="65"/>
      <c r="J7" s="65"/>
    </row>
    <row r="8" spans="1:13" x14ac:dyDescent="0.2">
      <c r="A8" s="66"/>
      <c r="B8" s="62" t="s">
        <v>219</v>
      </c>
      <c r="C8" s="62" t="s">
        <v>220</v>
      </c>
      <c r="D8" s="69">
        <f>+D9</f>
        <v>104000000</v>
      </c>
      <c r="H8" s="64"/>
      <c r="I8" s="65"/>
      <c r="J8" s="65"/>
    </row>
    <row r="9" spans="1:13" x14ac:dyDescent="0.2">
      <c r="A9" s="66"/>
      <c r="B9" s="62" t="s">
        <v>221</v>
      </c>
      <c r="C9" s="62" t="s">
        <v>222</v>
      </c>
      <c r="D9" s="69">
        <f>+D10</f>
        <v>104000000</v>
      </c>
      <c r="H9" s="64"/>
      <c r="I9" s="65"/>
      <c r="J9" s="65"/>
    </row>
    <row r="10" spans="1:13" x14ac:dyDescent="0.2">
      <c r="A10" s="66"/>
      <c r="B10" s="70" t="s">
        <v>221</v>
      </c>
      <c r="C10" s="70" t="s">
        <v>222</v>
      </c>
      <c r="D10" s="71">
        <f>SUM(D11:D13)</f>
        <v>104000000</v>
      </c>
      <c r="H10" s="64">
        <v>0</v>
      </c>
      <c r="I10" s="65">
        <v>0</v>
      </c>
      <c r="J10" s="65">
        <f>+H10-I10</f>
        <v>0</v>
      </c>
      <c r="L10" s="65">
        <f>+D10-J10</f>
        <v>104000000</v>
      </c>
      <c r="M10" s="153">
        <f>+L10/D10</f>
        <v>1</v>
      </c>
    </row>
    <row r="11" spans="1:13" x14ac:dyDescent="0.2">
      <c r="A11" s="66"/>
      <c r="B11" s="70" t="s">
        <v>221</v>
      </c>
      <c r="C11" s="72" t="s">
        <v>223</v>
      </c>
      <c r="D11" s="73">
        <v>60000000</v>
      </c>
      <c r="E11" s="74"/>
      <c r="F11" s="74"/>
      <c r="H11" s="64"/>
      <c r="I11" s="65"/>
      <c r="J11" s="65"/>
      <c r="L11" s="151"/>
    </row>
    <row r="12" spans="1:13" x14ac:dyDescent="0.2">
      <c r="A12" s="66"/>
      <c r="B12" s="75" t="s">
        <v>224</v>
      </c>
      <c r="C12" s="75" t="s">
        <v>225</v>
      </c>
      <c r="D12" s="76"/>
      <c r="E12" s="77">
        <v>30000000</v>
      </c>
      <c r="F12" s="74">
        <f>+D11+E12</f>
        <v>90000000</v>
      </c>
      <c r="H12" s="64">
        <v>0</v>
      </c>
      <c r="I12" s="65">
        <v>0</v>
      </c>
      <c r="J12" s="65">
        <v>0</v>
      </c>
      <c r="L12" s="65">
        <f>+F12-J12</f>
        <v>90000000</v>
      </c>
      <c r="M12" s="153">
        <f>+L12/F12</f>
        <v>1</v>
      </c>
    </row>
    <row r="13" spans="1:13" x14ac:dyDescent="0.2">
      <c r="A13" s="66"/>
      <c r="B13" s="70" t="s">
        <v>221</v>
      </c>
      <c r="C13" s="72" t="s">
        <v>226</v>
      </c>
      <c r="D13" s="73">
        <v>44000000</v>
      </c>
      <c r="H13" s="64"/>
      <c r="I13" s="65"/>
      <c r="J13" s="65"/>
    </row>
    <row r="14" spans="1:13" x14ac:dyDescent="0.2">
      <c r="A14" s="66"/>
      <c r="B14" s="78" t="s">
        <v>123</v>
      </c>
      <c r="C14" s="78" t="s">
        <v>124</v>
      </c>
      <c r="D14" s="79">
        <v>0</v>
      </c>
      <c r="E14" s="80"/>
      <c r="H14" s="64"/>
      <c r="I14" s="65"/>
      <c r="J14" s="65"/>
    </row>
    <row r="15" spans="1:13" x14ac:dyDescent="0.2">
      <c r="C15" s="81" t="s">
        <v>227</v>
      </c>
      <c r="D15" s="64"/>
      <c r="H15" s="64"/>
      <c r="I15" s="65"/>
      <c r="J15" s="65"/>
    </row>
    <row r="16" spans="1:13" x14ac:dyDescent="0.2">
      <c r="A16" s="61" t="s">
        <v>42</v>
      </c>
      <c r="B16" s="62" t="s">
        <v>228</v>
      </c>
      <c r="C16" s="82" t="s">
        <v>229</v>
      </c>
      <c r="D16" s="83">
        <f>+D17+D19</f>
        <v>712543613</v>
      </c>
      <c r="H16" s="83">
        <f>+H20+H18</f>
        <v>69918413</v>
      </c>
      <c r="I16" s="83">
        <f>+I20+I18</f>
        <v>6395400</v>
      </c>
      <c r="J16" s="83">
        <f>+J20+J18</f>
        <v>63523013</v>
      </c>
    </row>
    <row r="17" spans="1:13" x14ac:dyDescent="0.2">
      <c r="A17" s="66"/>
      <c r="B17" s="62" t="s">
        <v>230</v>
      </c>
      <c r="C17" s="62" t="s">
        <v>231</v>
      </c>
      <c r="D17" s="67">
        <f>+D18</f>
        <v>484000000</v>
      </c>
      <c r="H17" s="64"/>
      <c r="I17" s="65"/>
      <c r="J17" s="65"/>
    </row>
    <row r="18" spans="1:13" x14ac:dyDescent="0.2">
      <c r="A18" s="66"/>
      <c r="B18" s="70" t="s">
        <v>230</v>
      </c>
      <c r="C18" s="70" t="s">
        <v>231</v>
      </c>
      <c r="D18" s="71">
        <v>484000000</v>
      </c>
      <c r="H18" s="84">
        <v>38093300</v>
      </c>
      <c r="I18" s="65">
        <v>6395400</v>
      </c>
      <c r="J18" s="65">
        <f>+H18-I18</f>
        <v>31697900</v>
      </c>
      <c r="L18" s="65">
        <f>+D18-J18</f>
        <v>452302100</v>
      </c>
      <c r="M18" s="153">
        <f>+L18/D18</f>
        <v>0.93450847107438018</v>
      </c>
    </row>
    <row r="19" spans="1:13" x14ac:dyDescent="0.2">
      <c r="A19" s="66"/>
      <c r="B19" s="78" t="s">
        <v>232</v>
      </c>
      <c r="C19" s="78" t="s">
        <v>233</v>
      </c>
      <c r="D19" s="85">
        <f>+D20</f>
        <v>228543613</v>
      </c>
      <c r="H19" s="64"/>
      <c r="I19" s="86"/>
      <c r="J19" s="65"/>
      <c r="M19" s="152"/>
    </row>
    <row r="20" spans="1:13" x14ac:dyDescent="0.2">
      <c r="A20" s="66"/>
      <c r="B20" s="70" t="s">
        <v>232</v>
      </c>
      <c r="C20" s="70" t="s">
        <v>233</v>
      </c>
      <c r="D20" s="71">
        <v>228543613</v>
      </c>
      <c r="H20" s="84">
        <v>31825113</v>
      </c>
      <c r="I20" s="65">
        <v>0</v>
      </c>
      <c r="J20" s="65">
        <f>+H20-I20</f>
        <v>31825113</v>
      </c>
      <c r="L20" s="65">
        <f>+D20-J20</f>
        <v>196718500</v>
      </c>
      <c r="M20" s="153">
        <f>+L20/D20</f>
        <v>0.86074818463642644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scale="6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workbookViewId="0">
      <selection activeCell="C11" sqref="C11"/>
    </sheetView>
  </sheetViews>
  <sheetFormatPr baseColWidth="10" defaultRowHeight="12" x14ac:dyDescent="0.2"/>
  <cols>
    <col min="1" max="1" width="4.42578125" style="112" customWidth="1"/>
    <col min="2" max="2" width="21.85546875" style="112" bestFit="1" customWidth="1"/>
    <col min="3" max="3" width="65" style="112" bestFit="1" customWidth="1"/>
    <col min="4" max="5" width="12.7109375" style="112" bestFit="1" customWidth="1"/>
    <col min="6" max="7" width="12.7109375" style="112" customWidth="1"/>
    <col min="8" max="8" width="12" style="112" bestFit="1" customWidth="1"/>
    <col min="9" max="9" width="11.5703125" style="112" bestFit="1" customWidth="1"/>
    <col min="10" max="10" width="10.7109375" style="112" bestFit="1" customWidth="1"/>
    <col min="11" max="11" width="15.140625" style="112" customWidth="1"/>
    <col min="12" max="12" width="2.140625" style="112" customWidth="1"/>
    <col min="13" max="14" width="11.42578125" style="112" customWidth="1"/>
    <col min="15" max="16384" width="11.42578125" style="112"/>
  </cols>
  <sheetData>
    <row r="1" spans="1:12" x14ac:dyDescent="0.2">
      <c r="D1" s="113" t="s">
        <v>277</v>
      </c>
      <c r="E1" s="113" t="s">
        <v>278</v>
      </c>
      <c r="F1" s="113" t="s">
        <v>36</v>
      </c>
      <c r="G1" s="113" t="s">
        <v>279</v>
      </c>
      <c r="H1" s="113" t="s">
        <v>280</v>
      </c>
    </row>
    <row r="2" spans="1:12" x14ac:dyDescent="0.2">
      <c r="B2" s="112" t="s">
        <v>234</v>
      </c>
    </row>
    <row r="4" spans="1:12" ht="24" x14ac:dyDescent="0.2">
      <c r="D4" s="114" t="s">
        <v>235</v>
      </c>
      <c r="I4" s="115" t="s">
        <v>270</v>
      </c>
      <c r="J4" s="115" t="s">
        <v>271</v>
      </c>
      <c r="K4" s="115" t="s">
        <v>272</v>
      </c>
    </row>
    <row r="5" spans="1:12" x14ac:dyDescent="0.2">
      <c r="A5" s="116" t="s">
        <v>42</v>
      </c>
      <c r="B5" s="117" t="s">
        <v>236</v>
      </c>
      <c r="C5" s="117" t="s">
        <v>237</v>
      </c>
      <c r="D5" s="118">
        <f>+D7+D13+D10+D29+D32</f>
        <v>2381397553</v>
      </c>
      <c r="E5" s="118">
        <f>+E7+E13+E10+E29+E32+E33+E34+E35+E36</f>
        <v>619203742</v>
      </c>
      <c r="F5" s="118">
        <f>+E5+D5</f>
        <v>3000601295</v>
      </c>
      <c r="G5" s="119"/>
      <c r="H5" s="119"/>
      <c r="I5" s="120"/>
    </row>
    <row r="6" spans="1:12" x14ac:dyDescent="0.2">
      <c r="A6" s="121"/>
      <c r="B6" s="117"/>
      <c r="C6" s="122" t="s">
        <v>238</v>
      </c>
      <c r="D6" s="118">
        <f>+D7+D10</f>
        <v>1287889000</v>
      </c>
      <c r="E6" s="118">
        <f>+E7+E10</f>
        <v>348294907</v>
      </c>
      <c r="F6" s="118">
        <f t="shared" ref="F6:F36" si="0">+E6+D6</f>
        <v>1636183907</v>
      </c>
      <c r="G6" s="119"/>
      <c r="H6" s="119"/>
      <c r="I6" s="120"/>
    </row>
    <row r="7" spans="1:12" x14ac:dyDescent="0.2">
      <c r="A7" s="121"/>
      <c r="B7" s="117" t="s">
        <v>239</v>
      </c>
      <c r="C7" s="117" t="s">
        <v>240</v>
      </c>
      <c r="D7" s="123">
        <f>+D8+D12</f>
        <v>287889000</v>
      </c>
      <c r="E7" s="123">
        <f>+E8+E12</f>
        <v>11931395</v>
      </c>
      <c r="F7" s="118">
        <f t="shared" si="0"/>
        <v>299820395</v>
      </c>
      <c r="G7" s="119"/>
      <c r="H7" s="119"/>
      <c r="I7" s="120"/>
    </row>
    <row r="8" spans="1:12" x14ac:dyDescent="0.2">
      <c r="A8" s="121"/>
      <c r="B8" s="117" t="s">
        <v>241</v>
      </c>
      <c r="C8" s="117" t="s">
        <v>242</v>
      </c>
      <c r="D8" s="124">
        <f>+D9</f>
        <v>287889000</v>
      </c>
      <c r="E8" s="124">
        <f>+E9</f>
        <v>0</v>
      </c>
      <c r="F8" s="118">
        <f t="shared" si="0"/>
        <v>287889000</v>
      </c>
      <c r="G8" s="119"/>
      <c r="H8" s="119"/>
      <c r="I8" s="120"/>
    </row>
    <row r="9" spans="1:12" x14ac:dyDescent="0.2">
      <c r="A9" s="121"/>
      <c r="B9" s="125" t="s">
        <v>241</v>
      </c>
      <c r="C9" s="125" t="s">
        <v>242</v>
      </c>
      <c r="D9" s="119">
        <v>287889000</v>
      </c>
      <c r="E9" s="119"/>
      <c r="F9" s="118">
        <f t="shared" si="0"/>
        <v>287889000</v>
      </c>
      <c r="G9" s="126">
        <v>287889000</v>
      </c>
      <c r="H9" s="119"/>
      <c r="I9" s="127">
        <v>0</v>
      </c>
      <c r="J9" s="128"/>
      <c r="K9" s="129">
        <f>+I9-J9</f>
        <v>0</v>
      </c>
    </row>
    <row r="10" spans="1:12" x14ac:dyDescent="0.2">
      <c r="A10" s="121"/>
      <c r="B10" s="117" t="s">
        <v>243</v>
      </c>
      <c r="C10" s="117" t="s">
        <v>244</v>
      </c>
      <c r="D10" s="123">
        <f>+D11</f>
        <v>1000000000</v>
      </c>
      <c r="E10" s="123">
        <f>+E11</f>
        <v>336363512</v>
      </c>
      <c r="F10" s="118">
        <f t="shared" si="0"/>
        <v>1336363512</v>
      </c>
      <c r="G10" s="119"/>
      <c r="H10" s="119"/>
    </row>
    <row r="11" spans="1:12" ht="36" x14ac:dyDescent="0.2">
      <c r="A11" s="121"/>
      <c r="B11" s="125" t="s">
        <v>243</v>
      </c>
      <c r="C11" s="130" t="s">
        <v>308</v>
      </c>
      <c r="D11" s="119">
        <v>1000000000</v>
      </c>
      <c r="E11" s="126">
        <f>336363512</f>
        <v>336363512</v>
      </c>
      <c r="F11" s="118">
        <f t="shared" si="0"/>
        <v>1336363512</v>
      </c>
      <c r="G11" s="126">
        <f>1000000000+336363512</f>
        <v>1336363512</v>
      </c>
      <c r="H11" s="119"/>
      <c r="I11" s="131">
        <f>141416447+857397553</f>
        <v>998814000</v>
      </c>
      <c r="J11" s="131"/>
      <c r="K11" s="132">
        <v>141416447</v>
      </c>
    </row>
    <row r="12" spans="1:12" x14ac:dyDescent="0.2">
      <c r="A12" s="121"/>
      <c r="B12" s="133" t="s">
        <v>245</v>
      </c>
      <c r="C12" s="133" t="s">
        <v>246</v>
      </c>
      <c r="D12" s="131">
        <v>0</v>
      </c>
      <c r="E12" s="126">
        <v>11931395</v>
      </c>
      <c r="F12" s="118">
        <f t="shared" si="0"/>
        <v>11931395</v>
      </c>
      <c r="G12" s="119"/>
      <c r="H12" s="119">
        <v>11931395</v>
      </c>
      <c r="I12" s="119">
        <v>0</v>
      </c>
      <c r="J12" s="119">
        <v>0</v>
      </c>
      <c r="K12" s="131">
        <f>+I12-J12</f>
        <v>0</v>
      </c>
    </row>
    <row r="13" spans="1:12" ht="24" x14ac:dyDescent="0.2">
      <c r="A13" s="121"/>
      <c r="B13" s="117" t="s">
        <v>247</v>
      </c>
      <c r="C13" s="134" t="s">
        <v>275</v>
      </c>
      <c r="D13" s="118">
        <f>+D15+D25+D27+D17+D18+D19+D20+D21+D22+D23+D24</f>
        <v>994508553</v>
      </c>
      <c r="E13" s="118">
        <f>+E15+E25+E27+E17+E18+E19+E20+E21+E22+E23+E24</f>
        <v>0</v>
      </c>
      <c r="F13" s="118">
        <f t="shared" si="0"/>
        <v>994508553</v>
      </c>
      <c r="G13" s="119"/>
      <c r="H13" s="119"/>
    </row>
    <row r="14" spans="1:12" x14ac:dyDescent="0.2">
      <c r="A14" s="121"/>
      <c r="B14" s="117"/>
      <c r="C14" s="122" t="s">
        <v>248</v>
      </c>
      <c r="D14" s="118">
        <f>SUM(D16:D24)</f>
        <v>244508553</v>
      </c>
      <c r="E14" s="118">
        <f>SUM(E16:E24)</f>
        <v>0</v>
      </c>
      <c r="F14" s="118">
        <f t="shared" si="0"/>
        <v>244508553</v>
      </c>
      <c r="G14" s="126">
        <v>244508553</v>
      </c>
      <c r="H14" s="119"/>
    </row>
    <row r="15" spans="1:12" x14ac:dyDescent="0.2">
      <c r="A15" s="121"/>
      <c r="B15" s="117" t="s">
        <v>249</v>
      </c>
      <c r="C15" s="117" t="s">
        <v>250</v>
      </c>
      <c r="D15" s="123">
        <f>+D16</f>
        <v>70000000</v>
      </c>
      <c r="E15" s="119"/>
      <c r="F15" s="118">
        <f t="shared" si="0"/>
        <v>70000000</v>
      </c>
      <c r="G15" s="119"/>
      <c r="H15" s="119"/>
      <c r="I15" s="135">
        <f>SUM(I16:I24)</f>
        <v>117461505</v>
      </c>
      <c r="J15" s="135">
        <f>SUM(J16:J24)</f>
        <v>0</v>
      </c>
      <c r="K15" s="135">
        <f>SUM(K16:K24)</f>
        <v>98302187</v>
      </c>
    </row>
    <row r="16" spans="1:12" ht="36" x14ac:dyDescent="0.2">
      <c r="A16" s="121"/>
      <c r="B16" s="125"/>
      <c r="C16" s="130" t="s">
        <v>289</v>
      </c>
      <c r="D16" s="119">
        <v>70000000</v>
      </c>
      <c r="E16" s="119"/>
      <c r="F16" s="118">
        <f t="shared" si="0"/>
        <v>70000000</v>
      </c>
      <c r="G16" s="119"/>
      <c r="H16" s="119"/>
      <c r="I16" s="127">
        <f>70000000-69010163</f>
        <v>989837</v>
      </c>
      <c r="J16" s="127">
        <v>0</v>
      </c>
      <c r="K16" s="131">
        <f>+I16-J16</f>
        <v>989837</v>
      </c>
      <c r="L16" s="116"/>
    </row>
    <row r="17" spans="1:12" x14ac:dyDescent="0.2">
      <c r="A17" s="121"/>
      <c r="B17" s="125"/>
      <c r="C17" s="125" t="s">
        <v>251</v>
      </c>
      <c r="D17" s="119">
        <v>1000000</v>
      </c>
      <c r="E17" s="119"/>
      <c r="F17" s="118">
        <f t="shared" si="0"/>
        <v>1000000</v>
      </c>
      <c r="G17" s="119"/>
      <c r="H17" s="119"/>
      <c r="I17" s="127">
        <v>1000000</v>
      </c>
      <c r="J17" s="127"/>
      <c r="K17" s="131">
        <f t="shared" ref="K17:K36" si="1">+I17-J17</f>
        <v>1000000</v>
      </c>
      <c r="L17" s="116"/>
    </row>
    <row r="18" spans="1:12" ht="24" x14ac:dyDescent="0.2">
      <c r="A18" s="121"/>
      <c r="B18" s="125"/>
      <c r="C18" s="130" t="s">
        <v>276</v>
      </c>
      <c r="D18" s="119">
        <v>7000000</v>
      </c>
      <c r="E18" s="119"/>
      <c r="F18" s="118">
        <f t="shared" si="0"/>
        <v>7000000</v>
      </c>
      <c r="G18" s="119"/>
      <c r="H18" s="119"/>
      <c r="I18" s="127">
        <f>7000000-4000000</f>
        <v>3000000</v>
      </c>
      <c r="J18" s="127"/>
      <c r="K18" s="131">
        <f t="shared" si="1"/>
        <v>3000000</v>
      </c>
      <c r="L18" s="116"/>
    </row>
    <row r="19" spans="1:12" ht="24" x14ac:dyDescent="0.2">
      <c r="A19" s="121"/>
      <c r="B19" s="125"/>
      <c r="C19" s="130" t="s">
        <v>291</v>
      </c>
      <c r="D19" s="119">
        <v>15000000</v>
      </c>
      <c r="E19" s="119"/>
      <c r="F19" s="118">
        <f t="shared" si="0"/>
        <v>15000000</v>
      </c>
      <c r="G19" s="119"/>
      <c r="H19" s="119"/>
      <c r="I19" s="127">
        <f>15000000-14181000</f>
        <v>819000</v>
      </c>
      <c r="J19" s="127"/>
      <c r="K19" s="131">
        <f t="shared" si="1"/>
        <v>819000</v>
      </c>
      <c r="L19" s="116"/>
    </row>
    <row r="20" spans="1:12" x14ac:dyDescent="0.2">
      <c r="A20" s="121"/>
      <c r="B20" s="125"/>
      <c r="C20" s="125" t="s">
        <v>252</v>
      </c>
      <c r="D20" s="119">
        <v>2000000</v>
      </c>
      <c r="E20" s="119"/>
      <c r="F20" s="118">
        <f t="shared" si="0"/>
        <v>2000000</v>
      </c>
      <c r="G20" s="119"/>
      <c r="H20" s="119"/>
      <c r="I20" s="127">
        <v>2000000</v>
      </c>
      <c r="J20" s="127">
        <v>0</v>
      </c>
      <c r="K20" s="131">
        <f t="shared" si="1"/>
        <v>2000000</v>
      </c>
      <c r="L20" s="116"/>
    </row>
    <row r="21" spans="1:12" ht="36" x14ac:dyDescent="0.2">
      <c r="A21" s="121"/>
      <c r="B21" s="125"/>
      <c r="C21" s="130" t="s">
        <v>290</v>
      </c>
      <c r="D21" s="119">
        <v>60000000</v>
      </c>
      <c r="E21" s="119"/>
      <c r="F21" s="118">
        <f t="shared" si="0"/>
        <v>60000000</v>
      </c>
      <c r="G21" s="119"/>
      <c r="H21" s="119"/>
      <c r="I21" s="127">
        <f>60000000-34705885</f>
        <v>25294115</v>
      </c>
      <c r="J21" s="127"/>
      <c r="K21" s="131">
        <f t="shared" si="1"/>
        <v>25294115</v>
      </c>
      <c r="L21" s="116"/>
    </row>
    <row r="22" spans="1:12" ht="24" x14ac:dyDescent="0.2">
      <c r="A22" s="121"/>
      <c r="B22" s="125"/>
      <c r="C22" s="130" t="s">
        <v>292</v>
      </c>
      <c r="D22" s="119">
        <v>30000000</v>
      </c>
      <c r="E22" s="119"/>
      <c r="F22" s="118">
        <f t="shared" si="0"/>
        <v>30000000</v>
      </c>
      <c r="G22" s="119"/>
      <c r="H22" s="119"/>
      <c r="I22" s="127">
        <f>30000000-5150000</f>
        <v>24850000</v>
      </c>
      <c r="J22" s="127"/>
      <c r="K22" s="131">
        <f t="shared" si="1"/>
        <v>24850000</v>
      </c>
      <c r="L22" s="116"/>
    </row>
    <row r="23" spans="1:12" ht="24" x14ac:dyDescent="0.2">
      <c r="A23" s="121"/>
      <c r="B23" s="125"/>
      <c r="C23" s="130" t="s">
        <v>307</v>
      </c>
      <c r="D23" s="119">
        <v>20000000</v>
      </c>
      <c r="E23" s="119"/>
      <c r="F23" s="118">
        <f t="shared" si="0"/>
        <v>20000000</v>
      </c>
      <c r="G23" s="119"/>
      <c r="H23" s="119"/>
      <c r="I23" s="127">
        <v>20000000</v>
      </c>
      <c r="J23" s="127"/>
      <c r="K23" s="131">
        <f>+I23-J23-19159318</f>
        <v>840682</v>
      </c>
      <c r="L23" s="116"/>
    </row>
    <row r="24" spans="1:12" x14ac:dyDescent="0.2">
      <c r="A24" s="121"/>
      <c r="B24" s="125"/>
      <c r="C24" s="125" t="s">
        <v>253</v>
      </c>
      <c r="D24" s="119">
        <v>39508553</v>
      </c>
      <c r="E24" s="119"/>
      <c r="F24" s="118">
        <f t="shared" si="0"/>
        <v>39508553</v>
      </c>
      <c r="G24" s="119"/>
      <c r="H24" s="119"/>
      <c r="I24" s="127">
        <v>39508553</v>
      </c>
      <c r="J24" s="127"/>
      <c r="K24" s="131">
        <f t="shared" si="1"/>
        <v>39508553</v>
      </c>
      <c r="L24" s="116"/>
    </row>
    <row r="25" spans="1:12" x14ac:dyDescent="0.2">
      <c r="A25" s="121"/>
      <c r="B25" s="117" t="s">
        <v>254</v>
      </c>
      <c r="C25" s="122" t="s">
        <v>255</v>
      </c>
      <c r="D25" s="123">
        <f>+D26</f>
        <v>200000000</v>
      </c>
      <c r="E25" s="123">
        <f>+E26</f>
        <v>0</v>
      </c>
      <c r="F25" s="118">
        <f t="shared" si="0"/>
        <v>200000000</v>
      </c>
      <c r="G25" s="119"/>
      <c r="H25" s="119"/>
      <c r="I25" s="120"/>
      <c r="J25" s="127"/>
      <c r="K25" s="131">
        <f t="shared" si="1"/>
        <v>0</v>
      </c>
    </row>
    <row r="26" spans="1:12" x14ac:dyDescent="0.2">
      <c r="A26" s="121"/>
      <c r="B26" s="125" t="s">
        <v>254</v>
      </c>
      <c r="C26" s="125" t="s">
        <v>255</v>
      </c>
      <c r="D26" s="119">
        <v>200000000</v>
      </c>
      <c r="E26" s="119"/>
      <c r="F26" s="118">
        <f t="shared" si="0"/>
        <v>200000000</v>
      </c>
      <c r="G26" s="126">
        <v>200000000</v>
      </c>
      <c r="H26" s="119"/>
      <c r="I26" s="127">
        <v>102264785</v>
      </c>
      <c r="J26" s="127">
        <v>15872128</v>
      </c>
      <c r="K26" s="132">
        <f t="shared" si="1"/>
        <v>86392657</v>
      </c>
    </row>
    <row r="27" spans="1:12" x14ac:dyDescent="0.2">
      <c r="A27" s="121"/>
      <c r="B27" s="117" t="s">
        <v>256</v>
      </c>
      <c r="C27" s="122" t="s">
        <v>257</v>
      </c>
      <c r="D27" s="123">
        <f>+D28</f>
        <v>550000000</v>
      </c>
      <c r="E27" s="123">
        <f>+E28</f>
        <v>0</v>
      </c>
      <c r="F27" s="118">
        <f t="shared" si="0"/>
        <v>550000000</v>
      </c>
      <c r="G27" s="119"/>
      <c r="H27" s="119"/>
      <c r="I27" s="136"/>
      <c r="J27" s="127"/>
      <c r="K27" s="131">
        <f t="shared" si="1"/>
        <v>0</v>
      </c>
    </row>
    <row r="28" spans="1:12" x14ac:dyDescent="0.2">
      <c r="A28" s="121"/>
      <c r="B28" s="125" t="s">
        <v>256</v>
      </c>
      <c r="C28" s="125" t="s">
        <v>257</v>
      </c>
      <c r="D28" s="119">
        <v>550000000</v>
      </c>
      <c r="E28" s="119"/>
      <c r="F28" s="118">
        <f t="shared" si="0"/>
        <v>550000000</v>
      </c>
      <c r="G28" s="126">
        <v>550000000</v>
      </c>
      <c r="H28" s="119"/>
      <c r="I28" s="127">
        <v>92772793</v>
      </c>
      <c r="J28" s="127"/>
      <c r="K28" s="132">
        <f t="shared" si="1"/>
        <v>92772793</v>
      </c>
    </row>
    <row r="29" spans="1:12" x14ac:dyDescent="0.2">
      <c r="A29" s="121"/>
      <c r="B29" s="117" t="s">
        <v>258</v>
      </c>
      <c r="C29" s="117" t="s">
        <v>259</v>
      </c>
      <c r="D29" s="123">
        <f>+D30</f>
        <v>99000000</v>
      </c>
      <c r="E29" s="123">
        <f>+E30</f>
        <v>0</v>
      </c>
      <c r="F29" s="118">
        <f t="shared" si="0"/>
        <v>99000000</v>
      </c>
      <c r="G29" s="119"/>
      <c r="H29" s="119"/>
      <c r="I29" s="119"/>
      <c r="J29" s="127"/>
      <c r="K29" s="131">
        <f t="shared" si="1"/>
        <v>0</v>
      </c>
    </row>
    <row r="30" spans="1:12" x14ac:dyDescent="0.2">
      <c r="A30" s="121"/>
      <c r="B30" s="117" t="s">
        <v>260</v>
      </c>
      <c r="C30" s="117" t="s">
        <v>261</v>
      </c>
      <c r="D30" s="124">
        <f>+D31</f>
        <v>99000000</v>
      </c>
      <c r="E30" s="124">
        <f>+E31</f>
        <v>0</v>
      </c>
      <c r="F30" s="118">
        <f t="shared" si="0"/>
        <v>99000000</v>
      </c>
      <c r="G30" s="119"/>
      <c r="H30" s="119"/>
      <c r="I30" s="119"/>
      <c r="J30" s="127"/>
      <c r="K30" s="131">
        <f t="shared" si="1"/>
        <v>0</v>
      </c>
    </row>
    <row r="31" spans="1:12" x14ac:dyDescent="0.2">
      <c r="A31" s="121"/>
      <c r="B31" s="125" t="s">
        <v>260</v>
      </c>
      <c r="C31" s="125" t="s">
        <v>261</v>
      </c>
      <c r="D31" s="119">
        <v>99000000</v>
      </c>
      <c r="E31" s="119"/>
      <c r="F31" s="118">
        <f t="shared" si="0"/>
        <v>99000000</v>
      </c>
      <c r="G31" s="126">
        <f>41780297+57219703</f>
        <v>99000000</v>
      </c>
      <c r="H31" s="119">
        <f>+D31-G31</f>
        <v>0</v>
      </c>
      <c r="I31" s="127">
        <v>41480297</v>
      </c>
      <c r="J31" s="127"/>
      <c r="K31" s="131">
        <v>0</v>
      </c>
    </row>
    <row r="32" spans="1:12" x14ac:dyDescent="0.2">
      <c r="A32" s="121"/>
      <c r="B32" s="133" t="s">
        <v>262</v>
      </c>
      <c r="C32" s="133" t="s">
        <v>263</v>
      </c>
      <c r="D32" s="131">
        <v>0</v>
      </c>
      <c r="E32" s="126">
        <v>263636488</v>
      </c>
      <c r="F32" s="118">
        <f t="shared" si="0"/>
        <v>263636488</v>
      </c>
      <c r="G32" s="119">
        <v>150267694</v>
      </c>
      <c r="H32" s="119">
        <v>113368794</v>
      </c>
      <c r="I32" s="131">
        <v>0</v>
      </c>
      <c r="J32" s="127"/>
      <c r="K32" s="132">
        <v>113368794</v>
      </c>
    </row>
    <row r="33" spans="2:11" x14ac:dyDescent="0.2">
      <c r="B33" s="133" t="s">
        <v>281</v>
      </c>
      <c r="C33" s="128" t="s">
        <v>285</v>
      </c>
      <c r="D33" s="128">
        <v>0</v>
      </c>
      <c r="E33" s="126">
        <v>160796</v>
      </c>
      <c r="F33" s="118">
        <f t="shared" si="0"/>
        <v>160796</v>
      </c>
      <c r="G33" s="128"/>
      <c r="H33" s="119">
        <v>160796</v>
      </c>
      <c r="I33" s="128">
        <v>0</v>
      </c>
      <c r="J33" s="127"/>
      <c r="K33" s="131">
        <f t="shared" si="1"/>
        <v>0</v>
      </c>
    </row>
    <row r="34" spans="2:11" x14ac:dyDescent="0.2">
      <c r="B34" s="133" t="s">
        <v>282</v>
      </c>
      <c r="C34" s="128" t="s">
        <v>286</v>
      </c>
      <c r="D34" s="128">
        <v>0</v>
      </c>
      <c r="E34" s="126">
        <v>822048</v>
      </c>
      <c r="F34" s="118">
        <f t="shared" si="0"/>
        <v>822048</v>
      </c>
      <c r="G34" s="128"/>
      <c r="H34" s="119">
        <v>822048</v>
      </c>
      <c r="I34" s="128">
        <v>0</v>
      </c>
      <c r="J34" s="127"/>
      <c r="K34" s="131">
        <f t="shared" si="1"/>
        <v>0</v>
      </c>
    </row>
    <row r="35" spans="2:11" x14ac:dyDescent="0.2">
      <c r="B35" s="133" t="s">
        <v>283</v>
      </c>
      <c r="C35" s="128" t="s">
        <v>287</v>
      </c>
      <c r="D35" s="128">
        <v>0</v>
      </c>
      <c r="E35" s="126">
        <v>268995</v>
      </c>
      <c r="F35" s="118">
        <f t="shared" si="0"/>
        <v>268995</v>
      </c>
      <c r="G35" s="128"/>
      <c r="H35" s="119">
        <v>268995</v>
      </c>
      <c r="I35" s="128">
        <v>0</v>
      </c>
      <c r="J35" s="127"/>
      <c r="K35" s="131">
        <f t="shared" si="1"/>
        <v>0</v>
      </c>
    </row>
    <row r="36" spans="2:11" x14ac:dyDescent="0.2">
      <c r="B36" s="133" t="s">
        <v>284</v>
      </c>
      <c r="C36" s="128" t="s">
        <v>288</v>
      </c>
      <c r="D36" s="128">
        <v>0</v>
      </c>
      <c r="E36" s="126">
        <v>6020508</v>
      </c>
      <c r="F36" s="118">
        <f t="shared" si="0"/>
        <v>6020508</v>
      </c>
      <c r="G36" s="128"/>
      <c r="H36" s="119">
        <v>6020508</v>
      </c>
      <c r="I36" s="128">
        <v>0</v>
      </c>
      <c r="J36" s="127"/>
      <c r="K36" s="131">
        <f t="shared" si="1"/>
        <v>0</v>
      </c>
    </row>
    <row r="37" spans="2:11" x14ac:dyDescent="0.2">
      <c r="B37" s="137"/>
      <c r="C37" s="120"/>
      <c r="D37" s="138"/>
      <c r="E37" s="137"/>
      <c r="F37" s="137"/>
      <c r="G37" s="137"/>
      <c r="H37" s="137"/>
      <c r="I37" s="137"/>
      <c r="J37" s="137"/>
    </row>
    <row r="38" spans="2:11" x14ac:dyDescent="0.2">
      <c r="B38" s="137"/>
      <c r="C38" s="120"/>
      <c r="D38" s="138"/>
      <c r="E38" s="138"/>
      <c r="F38" s="138"/>
      <c r="G38" s="138"/>
      <c r="H38" s="138"/>
      <c r="I38" s="139"/>
      <c r="J38" s="137"/>
    </row>
    <row r="39" spans="2:11" x14ac:dyDescent="0.2">
      <c r="B39" s="137"/>
      <c r="C39" s="120"/>
      <c r="D39" s="137"/>
      <c r="E39" s="137"/>
      <c r="F39" s="137"/>
      <c r="G39" s="137"/>
      <c r="H39" s="137"/>
      <c r="I39" s="137"/>
      <c r="J39" s="137"/>
    </row>
    <row r="40" spans="2:11" x14ac:dyDescent="0.2">
      <c r="B40" s="137"/>
      <c r="C40" s="120"/>
      <c r="D40" s="137"/>
      <c r="E40" s="137"/>
      <c r="F40" s="137"/>
      <c r="G40" s="137"/>
      <c r="H40" s="137"/>
      <c r="I40" s="137"/>
      <c r="J40" s="137"/>
    </row>
    <row r="41" spans="2:11" x14ac:dyDescent="0.2">
      <c r="B41" s="137"/>
      <c r="C41" s="120"/>
      <c r="D41" s="137"/>
      <c r="E41" s="140"/>
      <c r="F41" s="140"/>
      <c r="G41" s="140"/>
      <c r="H41" s="140"/>
      <c r="I41" s="137"/>
      <c r="J41" s="137"/>
    </row>
    <row r="42" spans="2:11" x14ac:dyDescent="0.2">
      <c r="B42" s="137"/>
      <c r="C42" s="120"/>
      <c r="D42" s="137"/>
      <c r="E42" s="140"/>
      <c r="F42" s="140"/>
      <c r="G42" s="140"/>
      <c r="H42" s="140"/>
      <c r="I42" s="137"/>
      <c r="J42" s="137"/>
    </row>
    <row r="43" spans="2:11" x14ac:dyDescent="0.2">
      <c r="B43" s="137"/>
      <c r="C43" s="141"/>
      <c r="D43" s="137"/>
      <c r="E43" s="140"/>
      <c r="F43" s="140"/>
      <c r="G43" s="140"/>
      <c r="H43" s="140"/>
      <c r="I43" s="137"/>
      <c r="J43" s="137"/>
    </row>
    <row r="44" spans="2:11" x14ac:dyDescent="0.2">
      <c r="B44" s="137"/>
      <c r="C44" s="120"/>
      <c r="D44" s="137"/>
      <c r="E44" s="140"/>
      <c r="F44" s="140"/>
      <c r="G44" s="140"/>
      <c r="H44" s="140"/>
      <c r="I44" s="137"/>
      <c r="J44" s="137"/>
    </row>
    <row r="45" spans="2:11" x14ac:dyDescent="0.2">
      <c r="B45" s="137"/>
      <c r="C45" s="136"/>
      <c r="D45" s="136"/>
      <c r="E45" s="138"/>
      <c r="F45" s="138"/>
      <c r="G45" s="138"/>
      <c r="H45" s="138"/>
      <c r="I45" s="137"/>
      <c r="J45" s="137"/>
    </row>
    <row r="46" spans="2:11" x14ac:dyDescent="0.2">
      <c r="B46" s="137"/>
      <c r="C46" s="136"/>
      <c r="D46" s="136"/>
      <c r="E46" s="137"/>
      <c r="F46" s="137"/>
      <c r="G46" s="137"/>
      <c r="H46" s="137"/>
      <c r="I46" s="137"/>
      <c r="J46" s="137"/>
    </row>
    <row r="47" spans="2:11" x14ac:dyDescent="0.2">
      <c r="B47" s="137"/>
      <c r="C47" s="120"/>
      <c r="D47" s="142"/>
      <c r="E47" s="137"/>
      <c r="F47" s="137"/>
      <c r="G47" s="137"/>
      <c r="H47" s="137"/>
      <c r="I47" s="137"/>
      <c r="J47" s="137"/>
    </row>
    <row r="48" spans="2:11" x14ac:dyDescent="0.2">
      <c r="B48" s="137"/>
      <c r="C48" s="141"/>
      <c r="D48" s="142"/>
      <c r="E48" s="138"/>
      <c r="F48" s="138"/>
      <c r="G48" s="138"/>
      <c r="H48" s="138"/>
      <c r="I48" s="137"/>
      <c r="J48" s="137"/>
    </row>
    <row r="49" spans="2:10" x14ac:dyDescent="0.2">
      <c r="B49" s="137"/>
      <c r="C49" s="136"/>
      <c r="D49" s="136"/>
      <c r="E49" s="136"/>
      <c r="F49" s="136"/>
      <c r="G49" s="136"/>
      <c r="H49" s="136"/>
      <c r="I49" s="138"/>
      <c r="J49" s="137"/>
    </row>
    <row r="50" spans="2:10" x14ac:dyDescent="0.2">
      <c r="B50" s="137"/>
      <c r="C50" s="120"/>
      <c r="D50" s="142"/>
      <c r="E50" s="137"/>
      <c r="F50" s="137"/>
      <c r="G50" s="137"/>
      <c r="H50" s="137"/>
      <c r="I50" s="137"/>
      <c r="J50" s="137"/>
    </row>
    <row r="51" spans="2:10" x14ac:dyDescent="0.2">
      <c r="B51" s="121"/>
    </row>
    <row r="55" spans="2:10" x14ac:dyDescent="0.2">
      <c r="B55" s="121"/>
    </row>
    <row r="56" spans="2:10" x14ac:dyDescent="0.2">
      <c r="C56" s="143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6"/>
  <sheetViews>
    <sheetView topLeftCell="F1" zoomScale="90" zoomScaleNormal="90" workbookViewId="0">
      <selection activeCell="K43" sqref="K43"/>
    </sheetView>
  </sheetViews>
  <sheetFormatPr baseColWidth="10" defaultColWidth="21.85546875" defaultRowHeight="12.75" x14ac:dyDescent="0.2"/>
  <cols>
    <col min="1" max="1" width="2.140625" style="59" bestFit="1" customWidth="1"/>
    <col min="2" max="2" width="21.28515625" style="59" customWidth="1"/>
    <col min="3" max="3" width="63.85546875" style="59" bestFit="1" customWidth="1"/>
    <col min="4" max="4" width="14.5703125" style="59" bestFit="1" customWidth="1"/>
    <col min="5" max="5" width="10.85546875" style="59" bestFit="1" customWidth="1"/>
    <col min="6" max="7" width="12.28515625" style="59" bestFit="1" customWidth="1"/>
    <col min="8" max="8" width="10.85546875" style="59" bestFit="1" customWidth="1"/>
    <col min="9" max="9" width="11.5703125" style="59" bestFit="1" customWidth="1"/>
    <col min="10" max="10" width="11.140625" style="59" customWidth="1"/>
    <col min="11" max="11" width="12.28515625" style="59" bestFit="1" customWidth="1"/>
    <col min="12" max="12" width="10.42578125" style="59" bestFit="1" customWidth="1"/>
    <col min="13" max="13" width="9.42578125" style="59" bestFit="1" customWidth="1"/>
    <col min="14" max="14" width="10.28515625" style="59" bestFit="1" customWidth="1"/>
    <col min="15" max="15" width="9.85546875" style="59" customWidth="1"/>
    <col min="16" max="16" width="13.7109375" style="59" customWidth="1"/>
    <col min="17" max="17" width="3" style="59" customWidth="1"/>
    <col min="18" max="18" width="13.28515625" style="59" bestFit="1" customWidth="1"/>
    <col min="19" max="19" width="9.85546875" style="59" bestFit="1" customWidth="1"/>
    <col min="20" max="16384" width="21.85546875" style="59"/>
  </cols>
  <sheetData>
    <row r="1" spans="1:19" x14ac:dyDescent="0.2">
      <c r="D1" s="59" t="s">
        <v>277</v>
      </c>
      <c r="E1" s="59" t="s">
        <v>278</v>
      </c>
      <c r="F1" s="59" t="s">
        <v>36</v>
      </c>
      <c r="G1" s="59" t="s">
        <v>279</v>
      </c>
      <c r="H1" s="59" t="s">
        <v>280</v>
      </c>
    </row>
    <row r="2" spans="1:19" x14ac:dyDescent="0.2">
      <c r="B2" s="59" t="s">
        <v>234</v>
      </c>
    </row>
    <row r="4" spans="1:19" ht="36" x14ac:dyDescent="0.2">
      <c r="D4" s="60" t="s">
        <v>235</v>
      </c>
      <c r="I4" s="145" t="s">
        <v>270</v>
      </c>
      <c r="J4" s="145" t="s">
        <v>309</v>
      </c>
      <c r="K4" s="115" t="s">
        <v>271</v>
      </c>
      <c r="L4" s="115" t="s">
        <v>310</v>
      </c>
      <c r="M4" s="115" t="s">
        <v>311</v>
      </c>
      <c r="N4" s="115" t="s">
        <v>312</v>
      </c>
      <c r="O4" s="115" t="s">
        <v>313</v>
      </c>
      <c r="P4" s="145" t="s">
        <v>314</v>
      </c>
      <c r="R4" s="148" t="s">
        <v>333</v>
      </c>
      <c r="S4" s="148" t="s">
        <v>334</v>
      </c>
    </row>
    <row r="5" spans="1:19" x14ac:dyDescent="0.2">
      <c r="A5" s="87" t="s">
        <v>42</v>
      </c>
      <c r="B5" s="64" t="s">
        <v>236</v>
      </c>
      <c r="C5" s="64" t="s">
        <v>237</v>
      </c>
      <c r="D5" s="88">
        <f>+D7+D13+D10+D29+D32+D33+D34+D35+D36</f>
        <v>2381397553</v>
      </c>
      <c r="E5" s="88">
        <f>+E7+E13+E10+E29+E32+E33+E34+E35+E36</f>
        <v>619203742</v>
      </c>
      <c r="F5" s="89">
        <f t="shared" ref="F5:F36" si="0">+D5+E5</f>
        <v>3000601295</v>
      </c>
      <c r="G5" s="89"/>
      <c r="H5" s="89"/>
      <c r="I5" s="90"/>
      <c r="J5" s="90"/>
      <c r="K5" s="91"/>
      <c r="L5" s="91"/>
      <c r="M5" s="91"/>
      <c r="N5" s="91"/>
      <c r="O5" s="91"/>
      <c r="P5" s="92"/>
    </row>
    <row r="6" spans="1:19" x14ac:dyDescent="0.2">
      <c r="B6" s="64"/>
      <c r="C6" s="93" t="s">
        <v>238</v>
      </c>
      <c r="D6" s="88">
        <f>+D7+D10</f>
        <v>1287889000</v>
      </c>
      <c r="E6" s="88">
        <f>+E7+E10</f>
        <v>348294907</v>
      </c>
      <c r="F6" s="89">
        <f t="shared" si="0"/>
        <v>1636183907</v>
      </c>
      <c r="G6" s="89"/>
      <c r="H6" s="89"/>
      <c r="I6" s="90"/>
      <c r="J6" s="90"/>
      <c r="K6" s="91"/>
      <c r="L6" s="91"/>
      <c r="M6" s="91"/>
      <c r="N6" s="91"/>
      <c r="O6" s="91"/>
      <c r="P6" s="92"/>
    </row>
    <row r="7" spans="1:19" x14ac:dyDescent="0.2">
      <c r="B7" s="64" t="s">
        <v>239</v>
      </c>
      <c r="C7" s="64" t="s">
        <v>240</v>
      </c>
      <c r="D7" s="94">
        <f>+D8+D12</f>
        <v>287889000</v>
      </c>
      <c r="E7" s="94">
        <f>+E8+E12</f>
        <v>11931395</v>
      </c>
      <c r="F7" s="89">
        <f t="shared" si="0"/>
        <v>299820395</v>
      </c>
      <c r="G7" s="89"/>
      <c r="H7" s="89"/>
      <c r="I7" s="90"/>
      <c r="J7" s="90"/>
      <c r="K7" s="91"/>
      <c r="L7" s="91"/>
      <c r="M7" s="91"/>
      <c r="N7" s="91"/>
      <c r="O7" s="91"/>
      <c r="P7" s="92"/>
    </row>
    <row r="8" spans="1:19" x14ac:dyDescent="0.2">
      <c r="B8" s="64" t="s">
        <v>241</v>
      </c>
      <c r="C8" s="64" t="s">
        <v>242</v>
      </c>
      <c r="D8" s="84">
        <f>+D9</f>
        <v>287889000</v>
      </c>
      <c r="E8" s="84">
        <f>+E9</f>
        <v>0</v>
      </c>
      <c r="F8" s="89">
        <f t="shared" si="0"/>
        <v>287889000</v>
      </c>
      <c r="G8" s="89"/>
      <c r="H8" s="89"/>
      <c r="I8" s="90"/>
      <c r="J8" s="90"/>
      <c r="K8" s="91"/>
      <c r="L8" s="91"/>
      <c r="M8" s="91"/>
      <c r="N8" s="91"/>
      <c r="O8" s="91"/>
      <c r="P8" s="92"/>
    </row>
    <row r="9" spans="1:19" x14ac:dyDescent="0.2">
      <c r="B9" s="95" t="s">
        <v>241</v>
      </c>
      <c r="C9" s="95" t="s">
        <v>242</v>
      </c>
      <c r="D9" s="89">
        <v>287889000</v>
      </c>
      <c r="E9" s="89"/>
      <c r="F9" s="89">
        <f t="shared" si="0"/>
        <v>287889000</v>
      </c>
      <c r="G9" s="96">
        <v>287889000</v>
      </c>
      <c r="H9" s="89"/>
      <c r="I9" s="97">
        <v>0</v>
      </c>
      <c r="J9" s="97">
        <v>0</v>
      </c>
      <c r="K9" s="91">
        <v>0</v>
      </c>
      <c r="L9" s="91"/>
      <c r="M9" s="91"/>
      <c r="N9" s="91"/>
      <c r="O9" s="91"/>
      <c r="P9" s="107">
        <f>+I9-J9-K9-L9-M9-N9-O9</f>
        <v>0</v>
      </c>
      <c r="R9" s="155">
        <f>+G9-P9</f>
        <v>287889000</v>
      </c>
      <c r="S9" s="156">
        <f>+R9/G9</f>
        <v>1</v>
      </c>
    </row>
    <row r="10" spans="1:19" x14ac:dyDescent="0.2">
      <c r="B10" s="64" t="s">
        <v>243</v>
      </c>
      <c r="C10" s="64" t="s">
        <v>244</v>
      </c>
      <c r="D10" s="94">
        <f>+D11</f>
        <v>1000000000</v>
      </c>
      <c r="E10" s="94">
        <f>+E11</f>
        <v>336363512</v>
      </c>
      <c r="F10" s="89">
        <f t="shared" si="0"/>
        <v>1336363512</v>
      </c>
      <c r="G10" s="89">
        <v>1336363512</v>
      </c>
      <c r="H10" s="89"/>
      <c r="I10" s="91"/>
      <c r="J10" s="91"/>
      <c r="K10" s="91"/>
      <c r="L10" s="91"/>
      <c r="M10" s="91"/>
      <c r="N10" s="91"/>
      <c r="O10" s="91"/>
      <c r="P10" s="92"/>
    </row>
    <row r="11" spans="1:19" ht="51" x14ac:dyDescent="0.2">
      <c r="B11" s="95" t="s">
        <v>243</v>
      </c>
      <c r="C11" s="98" t="s">
        <v>321</v>
      </c>
      <c r="D11" s="89">
        <v>1000000000</v>
      </c>
      <c r="E11" s="96">
        <f>336363512</f>
        <v>336363512</v>
      </c>
      <c r="F11" s="89">
        <f t="shared" si="0"/>
        <v>1336363512</v>
      </c>
      <c r="G11" s="96">
        <v>1336363512</v>
      </c>
      <c r="H11" s="89"/>
      <c r="I11" s="97">
        <f>141416447+857397553</f>
        <v>998814000</v>
      </c>
      <c r="J11" s="97">
        <f>584000+602000</f>
        <v>1186000</v>
      </c>
      <c r="K11" s="97">
        <f>857397553+336363512</f>
        <v>1193761065</v>
      </c>
      <c r="L11" s="91"/>
      <c r="M11" s="91"/>
      <c r="N11" s="91"/>
      <c r="O11" s="91"/>
      <c r="P11" s="107">
        <f t="shared" ref="P11:P36" si="1">+G11-J11-K11-L11-M11-N11-O11</f>
        <v>141416447</v>
      </c>
      <c r="R11" s="155">
        <f>+G11-P11</f>
        <v>1194947065</v>
      </c>
      <c r="S11" s="156">
        <f>+R11/G11</f>
        <v>0.8941781590636545</v>
      </c>
    </row>
    <row r="12" spans="1:19" x14ac:dyDescent="0.2">
      <c r="B12" s="99" t="s">
        <v>245</v>
      </c>
      <c r="C12" s="99" t="s">
        <v>246</v>
      </c>
      <c r="D12" s="100">
        <v>0</v>
      </c>
      <c r="E12" s="96">
        <v>11931395</v>
      </c>
      <c r="F12" s="89">
        <f t="shared" si="0"/>
        <v>11931395</v>
      </c>
      <c r="G12" s="89"/>
      <c r="H12" s="89">
        <v>11931395</v>
      </c>
      <c r="I12" s="91"/>
      <c r="J12" s="91"/>
      <c r="K12" s="91"/>
      <c r="L12" s="91"/>
      <c r="M12" s="91"/>
      <c r="N12" s="91"/>
      <c r="O12" s="91"/>
      <c r="P12" s="92">
        <f t="shared" si="1"/>
        <v>0</v>
      </c>
    </row>
    <row r="13" spans="1:19" x14ac:dyDescent="0.2">
      <c r="B13" s="64" t="s">
        <v>247</v>
      </c>
      <c r="C13" s="101" t="s">
        <v>315</v>
      </c>
      <c r="D13" s="88">
        <f>+D15+D25+D27+D17+D18+D19+D20+D21+D22+D23+D24</f>
        <v>994508553</v>
      </c>
      <c r="E13" s="88">
        <f>+E15+E25+E27+E17+E18+E19+E20+E21+E22+E23+E24</f>
        <v>0</v>
      </c>
      <c r="F13" s="89">
        <f t="shared" si="0"/>
        <v>994508553</v>
      </c>
      <c r="G13" s="89"/>
      <c r="H13" s="89"/>
      <c r="I13" s="91"/>
      <c r="J13" s="91"/>
      <c r="K13" s="91"/>
      <c r="L13" s="91"/>
      <c r="M13" s="91"/>
      <c r="N13" s="91"/>
      <c r="O13" s="91"/>
      <c r="P13" s="92">
        <f t="shared" si="1"/>
        <v>0</v>
      </c>
    </row>
    <row r="14" spans="1:19" x14ac:dyDescent="0.2">
      <c r="B14" s="64"/>
      <c r="C14" s="93" t="s">
        <v>248</v>
      </c>
      <c r="D14" s="88">
        <f>SUM(D16:D24)</f>
        <v>244508553</v>
      </c>
      <c r="E14" s="88">
        <f>SUM(E16:E24)</f>
        <v>0</v>
      </c>
      <c r="F14" s="89">
        <f t="shared" si="0"/>
        <v>244508553</v>
      </c>
      <c r="G14" s="96">
        <v>244508553</v>
      </c>
      <c r="H14" s="89"/>
      <c r="I14" s="91"/>
      <c r="J14" s="91"/>
      <c r="K14" s="91"/>
      <c r="L14" s="91"/>
      <c r="M14" s="91"/>
      <c r="N14" s="91"/>
      <c r="O14" s="91"/>
      <c r="P14" s="88">
        <f>SUM(P16:P24)</f>
        <v>98302187</v>
      </c>
      <c r="R14" s="157">
        <f>+G14-P14</f>
        <v>146206366</v>
      </c>
      <c r="S14" s="156">
        <f>+R14/G14</f>
        <v>0.5979601294356357</v>
      </c>
    </row>
    <row r="15" spans="1:19" x14ac:dyDescent="0.2">
      <c r="B15" s="64" t="s">
        <v>249</v>
      </c>
      <c r="C15" s="64" t="s">
        <v>250</v>
      </c>
      <c r="D15" s="94">
        <f>+D16</f>
        <v>70000000</v>
      </c>
      <c r="E15" s="94">
        <f>+E16</f>
        <v>0</v>
      </c>
      <c r="F15" s="89">
        <f t="shared" si="0"/>
        <v>70000000</v>
      </c>
      <c r="G15" s="89"/>
      <c r="H15" s="89"/>
      <c r="I15" s="91"/>
      <c r="J15" s="91"/>
      <c r="K15" s="91"/>
      <c r="L15" s="91"/>
      <c r="M15" s="91"/>
      <c r="N15" s="91"/>
      <c r="O15" s="91"/>
      <c r="P15" s="92">
        <f t="shared" si="1"/>
        <v>0</v>
      </c>
    </row>
    <row r="16" spans="1:19" ht="38.25" x14ac:dyDescent="0.2">
      <c r="B16" s="95"/>
      <c r="C16" s="98" t="s">
        <v>316</v>
      </c>
      <c r="D16" s="89">
        <v>70000000</v>
      </c>
      <c r="E16" s="89"/>
      <c r="F16" s="89">
        <f t="shared" si="0"/>
        <v>70000000</v>
      </c>
      <c r="G16" s="89">
        <v>70000000</v>
      </c>
      <c r="H16" s="89"/>
      <c r="I16" s="97">
        <v>989837</v>
      </c>
      <c r="J16" s="97">
        <f>2440000+35355000+12000000+19215163</f>
        <v>69010163</v>
      </c>
      <c r="K16" s="91"/>
      <c r="L16" s="91"/>
      <c r="M16" s="91"/>
      <c r="N16" s="91"/>
      <c r="O16" s="91"/>
      <c r="P16" s="92">
        <f t="shared" si="1"/>
        <v>989837</v>
      </c>
      <c r="Q16" s="61"/>
      <c r="R16" s="84">
        <f t="shared" ref="R16:R24" si="2">+G16-P16</f>
        <v>69010163</v>
      </c>
      <c r="S16" s="153">
        <f t="shared" ref="S16:S24" si="3">+R16/G16</f>
        <v>0.98585947142857144</v>
      </c>
    </row>
    <row r="17" spans="2:19" x14ac:dyDescent="0.2">
      <c r="B17" s="95"/>
      <c r="C17" s="95" t="s">
        <v>251</v>
      </c>
      <c r="D17" s="89">
        <v>1000000</v>
      </c>
      <c r="E17" s="89"/>
      <c r="F17" s="89">
        <f t="shared" si="0"/>
        <v>1000000</v>
      </c>
      <c r="G17" s="89">
        <v>1000000</v>
      </c>
      <c r="H17" s="89"/>
      <c r="I17" s="97">
        <v>1000000</v>
      </c>
      <c r="J17" s="97"/>
      <c r="K17" s="91"/>
      <c r="L17" s="91"/>
      <c r="M17" s="91"/>
      <c r="N17" s="91"/>
      <c r="O17" s="91"/>
      <c r="P17" s="92">
        <f t="shared" si="1"/>
        <v>1000000</v>
      </c>
      <c r="Q17" s="61"/>
      <c r="R17" s="84">
        <f t="shared" si="2"/>
        <v>0</v>
      </c>
      <c r="S17" s="153">
        <f t="shared" si="3"/>
        <v>0</v>
      </c>
    </row>
    <row r="18" spans="2:19" ht="25.5" x14ac:dyDescent="0.2">
      <c r="B18" s="95"/>
      <c r="C18" s="98" t="s">
        <v>276</v>
      </c>
      <c r="D18" s="89">
        <v>7000000</v>
      </c>
      <c r="E18" s="89"/>
      <c r="F18" s="89">
        <f t="shared" si="0"/>
        <v>7000000</v>
      </c>
      <c r="G18" s="89">
        <v>7000000</v>
      </c>
      <c r="H18" s="89"/>
      <c r="I18" s="97">
        <f>+D18-C45</f>
        <v>7000000</v>
      </c>
      <c r="J18" s="97">
        <v>4000000</v>
      </c>
      <c r="K18" s="91"/>
      <c r="L18" s="91"/>
      <c r="M18" s="91"/>
      <c r="N18" s="91"/>
      <c r="O18" s="91"/>
      <c r="P18" s="92">
        <f>+G18-J18-K18-L18-M18-N18-O18</f>
        <v>3000000</v>
      </c>
      <c r="Q18" s="61"/>
      <c r="R18" s="84">
        <f t="shared" si="2"/>
        <v>4000000</v>
      </c>
      <c r="S18" s="153">
        <f t="shared" si="3"/>
        <v>0.5714285714285714</v>
      </c>
    </row>
    <row r="19" spans="2:19" ht="25.5" x14ac:dyDescent="0.2">
      <c r="B19" s="95"/>
      <c r="C19" s="98" t="s">
        <v>317</v>
      </c>
      <c r="D19" s="89">
        <v>15000000</v>
      </c>
      <c r="E19" s="89"/>
      <c r="F19" s="89">
        <f t="shared" si="0"/>
        <v>15000000</v>
      </c>
      <c r="G19" s="89">
        <v>15000000</v>
      </c>
      <c r="H19" s="89"/>
      <c r="I19" s="97">
        <f>+D19-C46</f>
        <v>15000000</v>
      </c>
      <c r="J19" s="97">
        <v>14181000</v>
      </c>
      <c r="K19" s="91"/>
      <c r="L19" s="91"/>
      <c r="M19" s="91"/>
      <c r="N19" s="91"/>
      <c r="O19" s="91"/>
      <c r="P19" s="92">
        <f t="shared" si="1"/>
        <v>819000</v>
      </c>
      <c r="Q19" s="61"/>
      <c r="R19" s="84">
        <f t="shared" si="2"/>
        <v>14181000</v>
      </c>
      <c r="S19" s="153">
        <f t="shared" si="3"/>
        <v>0.94540000000000002</v>
      </c>
    </row>
    <row r="20" spans="2:19" x14ac:dyDescent="0.2">
      <c r="B20" s="95"/>
      <c r="C20" s="95" t="s">
        <v>252</v>
      </c>
      <c r="D20" s="89">
        <v>2000000</v>
      </c>
      <c r="E20" s="89"/>
      <c r="F20" s="89">
        <f t="shared" si="0"/>
        <v>2000000</v>
      </c>
      <c r="G20" s="89">
        <v>2000000</v>
      </c>
      <c r="H20" s="89"/>
      <c r="I20" s="97">
        <v>2000000</v>
      </c>
      <c r="J20" s="97"/>
      <c r="K20" s="91"/>
      <c r="L20" s="91"/>
      <c r="M20" s="91"/>
      <c r="N20" s="91"/>
      <c r="O20" s="91"/>
      <c r="P20" s="92">
        <f t="shared" si="1"/>
        <v>2000000</v>
      </c>
      <c r="Q20" s="61"/>
      <c r="R20" s="84">
        <f t="shared" si="2"/>
        <v>0</v>
      </c>
      <c r="S20" s="153">
        <f t="shared" si="3"/>
        <v>0</v>
      </c>
    </row>
    <row r="21" spans="2:19" ht="38.25" x14ac:dyDescent="0.2">
      <c r="B21" s="95"/>
      <c r="C21" s="98" t="s">
        <v>318</v>
      </c>
      <c r="D21" s="89">
        <v>60000000</v>
      </c>
      <c r="E21" s="89"/>
      <c r="F21" s="89">
        <f t="shared" si="0"/>
        <v>60000000</v>
      </c>
      <c r="G21" s="89">
        <v>60000000</v>
      </c>
      <c r="H21" s="89"/>
      <c r="I21" s="97">
        <f>+D21-C48</f>
        <v>60000000</v>
      </c>
      <c r="J21" s="97">
        <f>19104710+9552355+6048820</f>
        <v>34705885</v>
      </c>
      <c r="K21" s="91"/>
      <c r="L21" s="91"/>
      <c r="M21" s="91"/>
      <c r="N21" s="91"/>
      <c r="O21" s="91"/>
      <c r="P21" s="92">
        <f t="shared" si="1"/>
        <v>25294115</v>
      </c>
      <c r="Q21" s="61"/>
      <c r="R21" s="84">
        <f t="shared" si="2"/>
        <v>34705885</v>
      </c>
      <c r="S21" s="153">
        <f t="shared" si="3"/>
        <v>0.57843141666666664</v>
      </c>
    </row>
    <row r="22" spans="2:19" ht="25.5" x14ac:dyDescent="0.2">
      <c r="B22" s="95"/>
      <c r="C22" s="98" t="s">
        <v>319</v>
      </c>
      <c r="D22" s="89">
        <v>30000000</v>
      </c>
      <c r="E22" s="89"/>
      <c r="F22" s="89">
        <f t="shared" si="0"/>
        <v>30000000</v>
      </c>
      <c r="G22" s="89">
        <v>30000000</v>
      </c>
      <c r="H22" s="89"/>
      <c r="I22" s="97">
        <v>24850000</v>
      </c>
      <c r="J22" s="97">
        <v>5150000</v>
      </c>
      <c r="K22" s="91"/>
      <c r="L22" s="91"/>
      <c r="M22" s="91"/>
      <c r="N22" s="91"/>
      <c r="O22" s="91"/>
      <c r="P22" s="92">
        <f t="shared" si="1"/>
        <v>24850000</v>
      </c>
      <c r="Q22" s="61"/>
      <c r="R22" s="84">
        <f t="shared" si="2"/>
        <v>5150000</v>
      </c>
      <c r="S22" s="153">
        <f t="shared" si="3"/>
        <v>0.17166666666666666</v>
      </c>
    </row>
    <row r="23" spans="2:19" ht="25.5" x14ac:dyDescent="0.2">
      <c r="B23" s="95"/>
      <c r="C23" s="98" t="s">
        <v>322</v>
      </c>
      <c r="D23" s="89">
        <v>20000000</v>
      </c>
      <c r="E23" s="89"/>
      <c r="F23" s="89">
        <f t="shared" si="0"/>
        <v>20000000</v>
      </c>
      <c r="G23" s="89">
        <v>20000000</v>
      </c>
      <c r="H23" s="89"/>
      <c r="I23" s="97">
        <v>20000000</v>
      </c>
      <c r="J23" s="97"/>
      <c r="K23" s="97">
        <v>19159318</v>
      </c>
      <c r="L23" s="91"/>
      <c r="M23" s="91"/>
      <c r="N23" s="91"/>
      <c r="O23" s="91"/>
      <c r="P23" s="92">
        <f t="shared" si="1"/>
        <v>840682</v>
      </c>
      <c r="Q23" s="61"/>
      <c r="R23" s="84">
        <f t="shared" si="2"/>
        <v>19159318</v>
      </c>
      <c r="S23" s="153">
        <f t="shared" si="3"/>
        <v>0.95796590000000004</v>
      </c>
    </row>
    <row r="24" spans="2:19" x14ac:dyDescent="0.2">
      <c r="B24" s="95"/>
      <c r="C24" s="95" t="s">
        <v>253</v>
      </c>
      <c r="D24" s="89">
        <v>39508553</v>
      </c>
      <c r="E24" s="89"/>
      <c r="F24" s="89">
        <f t="shared" si="0"/>
        <v>39508553</v>
      </c>
      <c r="G24" s="89">
        <v>39508553</v>
      </c>
      <c r="H24" s="89"/>
      <c r="I24" s="97">
        <v>39508553</v>
      </c>
      <c r="J24" s="97"/>
      <c r="K24" s="91"/>
      <c r="L24" s="91"/>
      <c r="M24" s="91"/>
      <c r="N24" s="91"/>
      <c r="O24" s="91"/>
      <c r="P24" s="92">
        <f t="shared" si="1"/>
        <v>39508553</v>
      </c>
      <c r="Q24" s="61"/>
      <c r="R24" s="84">
        <f t="shared" si="2"/>
        <v>0</v>
      </c>
      <c r="S24" s="153">
        <f t="shared" si="3"/>
        <v>0</v>
      </c>
    </row>
    <row r="25" spans="2:19" x14ac:dyDescent="0.2">
      <c r="B25" s="64" t="s">
        <v>254</v>
      </c>
      <c r="C25" s="93" t="s">
        <v>255</v>
      </c>
      <c r="D25" s="94">
        <f>+D26</f>
        <v>200000000</v>
      </c>
      <c r="E25" s="94">
        <f>+E26</f>
        <v>0</v>
      </c>
      <c r="F25" s="89">
        <f t="shared" si="0"/>
        <v>200000000</v>
      </c>
      <c r="G25" s="89"/>
      <c r="H25" s="89"/>
      <c r="I25" s="90"/>
      <c r="J25" s="90"/>
      <c r="K25" s="91"/>
      <c r="L25" s="91"/>
      <c r="M25" s="91"/>
      <c r="N25" s="91"/>
      <c r="O25" s="91"/>
      <c r="P25" s="92">
        <f t="shared" si="1"/>
        <v>0</v>
      </c>
    </row>
    <row r="26" spans="2:19" x14ac:dyDescent="0.2">
      <c r="B26" s="95" t="s">
        <v>254</v>
      </c>
      <c r="C26" s="95" t="s">
        <v>255</v>
      </c>
      <c r="D26" s="89">
        <v>200000000</v>
      </c>
      <c r="E26" s="89"/>
      <c r="F26" s="89">
        <f t="shared" si="0"/>
        <v>200000000</v>
      </c>
      <c r="G26" s="96">
        <v>200000000</v>
      </c>
      <c r="H26" s="89"/>
      <c r="I26" s="97">
        <v>102264785</v>
      </c>
      <c r="J26" s="97"/>
      <c r="K26" s="97">
        <v>15872128</v>
      </c>
      <c r="L26" s="91"/>
      <c r="M26" s="91"/>
      <c r="N26" s="91"/>
      <c r="O26" s="91"/>
      <c r="P26" s="107">
        <f>+I26-J26-K26-L26-M26-N26-O26</f>
        <v>86392657</v>
      </c>
      <c r="R26" s="155">
        <f>+G26-P26</f>
        <v>113607343</v>
      </c>
      <c r="S26" s="156">
        <f>+R26/G26</f>
        <v>0.56803671499999997</v>
      </c>
    </row>
    <row r="27" spans="2:19" x14ac:dyDescent="0.2">
      <c r="B27" s="64" t="s">
        <v>256</v>
      </c>
      <c r="C27" s="93" t="s">
        <v>257</v>
      </c>
      <c r="D27" s="94">
        <f>+D28</f>
        <v>550000000</v>
      </c>
      <c r="E27" s="94">
        <f>+E28</f>
        <v>0</v>
      </c>
      <c r="F27" s="89">
        <f t="shared" si="0"/>
        <v>550000000</v>
      </c>
      <c r="G27" s="89"/>
      <c r="H27" s="89"/>
      <c r="I27" s="97"/>
      <c r="J27" s="97"/>
      <c r="K27" s="91"/>
      <c r="L27" s="91"/>
      <c r="M27" s="91"/>
      <c r="N27" s="91"/>
      <c r="O27" s="91"/>
      <c r="P27" s="92">
        <f t="shared" si="1"/>
        <v>0</v>
      </c>
    </row>
    <row r="28" spans="2:19" x14ac:dyDescent="0.2">
      <c r="B28" s="95" t="s">
        <v>256</v>
      </c>
      <c r="C28" s="95" t="s">
        <v>257</v>
      </c>
      <c r="D28" s="89">
        <v>550000000</v>
      </c>
      <c r="E28" s="89"/>
      <c r="F28" s="89">
        <f t="shared" si="0"/>
        <v>550000000</v>
      </c>
      <c r="G28" s="96">
        <v>550000000</v>
      </c>
      <c r="H28" s="89"/>
      <c r="I28" s="97">
        <v>92772793</v>
      </c>
      <c r="J28" s="97"/>
      <c r="K28" s="91"/>
      <c r="L28" s="91"/>
      <c r="M28" s="91"/>
      <c r="N28" s="91"/>
      <c r="O28" s="91"/>
      <c r="P28" s="107">
        <f>+I28-J28-K28-L28-M28-N28-O28</f>
        <v>92772793</v>
      </c>
      <c r="R28" s="155">
        <f>+G28-P28</f>
        <v>457227207</v>
      </c>
      <c r="S28" s="156">
        <f>+R28/G28</f>
        <v>0.83132219454545453</v>
      </c>
    </row>
    <row r="29" spans="2:19" x14ac:dyDescent="0.2">
      <c r="B29" s="64" t="s">
        <v>258</v>
      </c>
      <c r="C29" s="64" t="s">
        <v>259</v>
      </c>
      <c r="D29" s="94">
        <f>+D30</f>
        <v>99000000</v>
      </c>
      <c r="E29" s="94">
        <f>+E30</f>
        <v>0</v>
      </c>
      <c r="F29" s="89">
        <f t="shared" si="0"/>
        <v>99000000</v>
      </c>
      <c r="G29" s="89"/>
      <c r="H29" s="89"/>
      <c r="I29" s="90"/>
      <c r="J29" s="90"/>
      <c r="K29" s="91"/>
      <c r="L29" s="91"/>
      <c r="M29" s="91"/>
      <c r="N29" s="91"/>
      <c r="O29" s="91"/>
      <c r="P29" s="92">
        <f t="shared" si="1"/>
        <v>0</v>
      </c>
    </row>
    <row r="30" spans="2:19" x14ac:dyDescent="0.2">
      <c r="B30" s="64" t="s">
        <v>260</v>
      </c>
      <c r="C30" s="64" t="s">
        <v>320</v>
      </c>
      <c r="D30" s="84">
        <f>+D31</f>
        <v>99000000</v>
      </c>
      <c r="E30" s="84">
        <f>+E31</f>
        <v>0</v>
      </c>
      <c r="F30" s="89">
        <f t="shared" si="0"/>
        <v>99000000</v>
      </c>
      <c r="G30" s="89"/>
      <c r="H30" s="89"/>
      <c r="I30" s="90"/>
      <c r="J30" s="90"/>
      <c r="K30" s="91"/>
      <c r="L30" s="91"/>
      <c r="M30" s="91"/>
      <c r="N30" s="91"/>
      <c r="O30" s="91"/>
      <c r="P30" s="92">
        <f t="shared" si="1"/>
        <v>0</v>
      </c>
    </row>
    <row r="31" spans="2:19" ht="38.25" x14ac:dyDescent="0.2">
      <c r="B31" s="95" t="s">
        <v>260</v>
      </c>
      <c r="C31" s="98" t="s">
        <v>323</v>
      </c>
      <c r="D31" s="89">
        <v>99000000</v>
      </c>
      <c r="E31" s="89"/>
      <c r="F31" s="89">
        <f t="shared" si="0"/>
        <v>99000000</v>
      </c>
      <c r="G31" s="96">
        <f>41780297+57219703</f>
        <v>99000000</v>
      </c>
      <c r="H31" s="89"/>
      <c r="I31" s="97">
        <f>41780297+57219703</f>
        <v>99000000</v>
      </c>
      <c r="J31" s="97"/>
      <c r="K31" s="97">
        <f>41780297+57219703</f>
        <v>99000000</v>
      </c>
      <c r="L31" s="91"/>
      <c r="M31" s="91"/>
      <c r="N31" s="91"/>
      <c r="O31" s="91"/>
      <c r="P31" s="107">
        <f>+I31-J31-K31-L31-M31-N31-O31</f>
        <v>0</v>
      </c>
      <c r="R31" s="155">
        <f>+G31-P31</f>
        <v>99000000</v>
      </c>
      <c r="S31" s="156">
        <f>+R31/G31</f>
        <v>1</v>
      </c>
    </row>
    <row r="32" spans="2:19" ht="25.5" x14ac:dyDescent="0.2">
      <c r="B32" s="99" t="s">
        <v>262</v>
      </c>
      <c r="C32" s="108" t="s">
        <v>325</v>
      </c>
      <c r="D32" s="100">
        <v>0</v>
      </c>
      <c r="E32" s="96">
        <v>263636488</v>
      </c>
      <c r="F32" s="89">
        <f t="shared" si="0"/>
        <v>263636488</v>
      </c>
      <c r="G32" s="89">
        <v>150267694</v>
      </c>
      <c r="H32" s="89">
        <v>113368794</v>
      </c>
      <c r="I32" s="97">
        <v>0</v>
      </c>
      <c r="J32" s="97"/>
      <c r="K32" s="97">
        <v>150267694</v>
      </c>
      <c r="L32" s="91"/>
      <c r="M32" s="91"/>
      <c r="N32" s="91"/>
      <c r="O32" s="91"/>
      <c r="P32" s="107">
        <f>+G32-J32-K32-L32-M32-N32-O32</f>
        <v>0</v>
      </c>
      <c r="R32" s="155">
        <f>+G32-P32</f>
        <v>150267694</v>
      </c>
      <c r="S32" s="156">
        <f>+R32/G32</f>
        <v>1</v>
      </c>
    </row>
    <row r="33" spans="2:16" x14ac:dyDescent="0.2">
      <c r="B33" s="99" t="s">
        <v>281</v>
      </c>
      <c r="C33" s="64" t="s">
        <v>285</v>
      </c>
      <c r="D33" s="64">
        <v>0</v>
      </c>
      <c r="E33" s="96">
        <v>160796</v>
      </c>
      <c r="F33" s="89">
        <f t="shared" si="0"/>
        <v>160796</v>
      </c>
      <c r="G33" s="64"/>
      <c r="H33" s="89">
        <v>160796</v>
      </c>
      <c r="I33" s="91">
        <v>0</v>
      </c>
      <c r="J33" s="91"/>
      <c r="K33" s="91"/>
      <c r="L33" s="91"/>
      <c r="M33" s="91"/>
      <c r="N33" s="91"/>
      <c r="O33" s="91"/>
      <c r="P33" s="92">
        <f t="shared" si="1"/>
        <v>0</v>
      </c>
    </row>
    <row r="34" spans="2:16" x14ac:dyDescent="0.2">
      <c r="B34" s="99" t="s">
        <v>282</v>
      </c>
      <c r="C34" s="64" t="s">
        <v>286</v>
      </c>
      <c r="D34" s="64">
        <v>0</v>
      </c>
      <c r="E34" s="96">
        <v>822048</v>
      </c>
      <c r="F34" s="89">
        <f t="shared" si="0"/>
        <v>822048</v>
      </c>
      <c r="G34" s="64"/>
      <c r="H34" s="89">
        <v>822048</v>
      </c>
      <c r="I34" s="91">
        <v>0</v>
      </c>
      <c r="J34" s="91"/>
      <c r="K34" s="91"/>
      <c r="L34" s="91"/>
      <c r="M34" s="91"/>
      <c r="N34" s="91"/>
      <c r="O34" s="91"/>
      <c r="P34" s="92">
        <f t="shared" si="1"/>
        <v>0</v>
      </c>
    </row>
    <row r="35" spans="2:16" x14ac:dyDescent="0.2">
      <c r="B35" s="99" t="s">
        <v>283</v>
      </c>
      <c r="C35" s="64" t="s">
        <v>287</v>
      </c>
      <c r="D35" s="64">
        <v>0</v>
      </c>
      <c r="E35" s="96">
        <v>268995</v>
      </c>
      <c r="F35" s="89">
        <f t="shared" si="0"/>
        <v>268995</v>
      </c>
      <c r="G35" s="64"/>
      <c r="H35" s="89">
        <v>268995</v>
      </c>
      <c r="I35" s="91">
        <v>0</v>
      </c>
      <c r="J35" s="91"/>
      <c r="K35" s="91"/>
      <c r="L35" s="91"/>
      <c r="M35" s="91"/>
      <c r="N35" s="91"/>
      <c r="O35" s="91"/>
      <c r="P35" s="92">
        <f t="shared" si="1"/>
        <v>0</v>
      </c>
    </row>
    <row r="36" spans="2:16" x14ac:dyDescent="0.2">
      <c r="B36" s="99" t="s">
        <v>284</v>
      </c>
      <c r="C36" s="64" t="s">
        <v>288</v>
      </c>
      <c r="D36" s="64">
        <v>0</v>
      </c>
      <c r="E36" s="96">
        <v>6020508</v>
      </c>
      <c r="F36" s="89">
        <f t="shared" si="0"/>
        <v>6020508</v>
      </c>
      <c r="G36" s="64"/>
      <c r="H36" s="89">
        <v>6020508</v>
      </c>
      <c r="I36" s="91">
        <v>0</v>
      </c>
      <c r="J36" s="91"/>
      <c r="K36" s="91"/>
      <c r="L36" s="91"/>
      <c r="M36" s="91"/>
      <c r="N36" s="91"/>
      <c r="O36" s="91"/>
      <c r="P36" s="92">
        <f t="shared" si="1"/>
        <v>0</v>
      </c>
    </row>
    <row r="37" spans="2:16" x14ac:dyDescent="0.2">
      <c r="B37" s="102"/>
      <c r="C37" s="103"/>
      <c r="D37" s="104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6" x14ac:dyDescent="0.2">
      <c r="B38" s="102"/>
      <c r="C38" s="103"/>
      <c r="D38" s="104"/>
      <c r="E38" s="104"/>
      <c r="F38" s="104"/>
      <c r="G38" s="104"/>
      <c r="H38" s="158">
        <f>SUM(H5:H36)</f>
        <v>132572536</v>
      </c>
      <c r="I38" s="159" t="s">
        <v>324</v>
      </c>
      <c r="J38" s="159"/>
      <c r="K38" s="102"/>
      <c r="L38" s="102"/>
      <c r="M38" s="102"/>
      <c r="N38" s="102"/>
      <c r="O38" s="102"/>
    </row>
    <row r="39" spans="2:16" x14ac:dyDescent="0.2">
      <c r="B39" s="102"/>
      <c r="C39" s="103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6" x14ac:dyDescent="0.2">
      <c r="B40" s="102"/>
      <c r="C40" s="103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6" x14ac:dyDescent="0.2">
      <c r="B41" s="102"/>
      <c r="C41" s="103"/>
      <c r="D41" s="102"/>
      <c r="E41" s="104"/>
      <c r="F41" s="104"/>
      <c r="G41" s="104"/>
      <c r="H41" s="104"/>
      <c r="I41" s="102"/>
      <c r="J41" s="102"/>
      <c r="K41" s="102"/>
      <c r="L41" s="102"/>
      <c r="M41" s="102"/>
      <c r="N41" s="102"/>
      <c r="O41" s="102"/>
    </row>
    <row r="42" spans="2:16" x14ac:dyDescent="0.2">
      <c r="B42" s="102"/>
      <c r="C42" s="103"/>
      <c r="D42" s="102"/>
      <c r="E42" s="104"/>
      <c r="F42" s="104"/>
      <c r="G42" s="104"/>
      <c r="H42" s="104"/>
      <c r="I42" s="102"/>
      <c r="J42" s="102"/>
      <c r="K42" s="102"/>
      <c r="L42" s="102"/>
      <c r="M42" s="102"/>
      <c r="N42" s="102"/>
      <c r="O42" s="102"/>
    </row>
    <row r="43" spans="2:16" x14ac:dyDescent="0.2">
      <c r="B43" s="102"/>
      <c r="C43" s="105"/>
      <c r="D43" s="102"/>
      <c r="E43" s="104"/>
      <c r="F43" s="104"/>
      <c r="G43" s="104"/>
      <c r="H43" s="104"/>
      <c r="I43" s="102"/>
      <c r="J43" s="102"/>
      <c r="K43" s="102"/>
      <c r="L43" s="102"/>
      <c r="M43" s="102"/>
      <c r="N43" s="102"/>
      <c r="O43" s="102"/>
    </row>
    <row r="44" spans="2:16" x14ac:dyDescent="0.2">
      <c r="B44" s="102"/>
      <c r="C44" s="103"/>
      <c r="D44" s="102"/>
      <c r="E44" s="104"/>
      <c r="F44" s="104"/>
      <c r="G44" s="104"/>
      <c r="H44" s="104"/>
      <c r="I44" s="102"/>
      <c r="J44" s="102"/>
      <c r="K44" s="102"/>
      <c r="L44" s="102"/>
      <c r="M44" s="102"/>
      <c r="N44" s="102"/>
      <c r="O44" s="102"/>
    </row>
    <row r="45" spans="2:16" x14ac:dyDescent="0.2">
      <c r="B45" s="102"/>
      <c r="C45" s="106"/>
      <c r="D45" s="106"/>
      <c r="E45" s="104"/>
      <c r="F45" s="104"/>
      <c r="G45" s="104"/>
      <c r="H45" s="104"/>
      <c r="I45" s="102"/>
      <c r="J45" s="102"/>
      <c r="K45" s="102"/>
      <c r="L45" s="102"/>
      <c r="M45" s="102"/>
      <c r="N45" s="102"/>
      <c r="O45" s="102"/>
    </row>
    <row r="46" spans="2:16" x14ac:dyDescent="0.2">
      <c r="B46" s="102"/>
      <c r="C46" s="106"/>
      <c r="D46" s="106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6" x14ac:dyDescent="0.2">
      <c r="B47" s="102"/>
      <c r="C47" s="103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6" x14ac:dyDescent="0.2">
      <c r="B48" s="102"/>
      <c r="C48" s="105"/>
      <c r="D48" s="102"/>
      <c r="E48" s="104"/>
      <c r="F48" s="104"/>
      <c r="G48" s="104"/>
      <c r="H48" s="104"/>
      <c r="I48" s="102"/>
      <c r="J48" s="102"/>
      <c r="K48" s="102"/>
      <c r="L48" s="102"/>
      <c r="M48" s="102"/>
      <c r="N48" s="102"/>
      <c r="O48" s="102"/>
    </row>
    <row r="49" spans="2:15" x14ac:dyDescent="0.2">
      <c r="B49" s="102"/>
      <c r="C49" s="106"/>
      <c r="D49" s="106"/>
      <c r="E49" s="106"/>
      <c r="F49" s="106"/>
      <c r="G49" s="106"/>
      <c r="H49" s="106"/>
      <c r="I49" s="104"/>
      <c r="J49" s="104"/>
      <c r="K49" s="102"/>
      <c r="L49" s="102"/>
      <c r="M49" s="102"/>
      <c r="N49" s="102"/>
      <c r="O49" s="102"/>
    </row>
    <row r="50" spans="2:15" x14ac:dyDescent="0.2">
      <c r="B50" s="102"/>
      <c r="C50" s="103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6" spans="2:15" x14ac:dyDescent="0.2">
      <c r="C56" s="74"/>
    </row>
  </sheetData>
  <pageMargins left="0.31496062992125984" right="0.31496062992125984" top="0.35433070866141736" bottom="0.35433070866141736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PRESUPUESTO 2016 FUNCIONAMIENTO</vt:lpstr>
      <vt:lpstr>FUNCIONAMIENTO</vt:lpstr>
      <vt:lpstr>INVERSION 31 </vt:lpstr>
      <vt:lpstr>INVERSION 55</vt:lpstr>
      <vt:lpstr>INVERSION 52</vt:lpstr>
      <vt:lpstr>INVERSION 11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SubAdministrativa</dc:creator>
  <cp:lastModifiedBy>Gerencia</cp:lastModifiedBy>
  <cp:lastPrinted>2016-09-07T20:09:45Z</cp:lastPrinted>
  <dcterms:created xsi:type="dcterms:W3CDTF">2016-01-13T14:26:12Z</dcterms:created>
  <dcterms:modified xsi:type="dcterms:W3CDTF">2016-09-12T21:27:29Z</dcterms:modified>
</cp:coreProperties>
</file>